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683D851D-1AD1-40BB-9505-088879BAE8DD}"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869" i="7" l="1"/>
  <c r="H811" i="7"/>
  <c r="H753" i="7"/>
  <c r="H695" i="7"/>
  <c r="H637" i="7"/>
  <c r="H579" i="7"/>
  <c r="H521" i="7"/>
  <c r="H462" i="7"/>
  <c r="H404" i="7"/>
  <c r="H346" i="7"/>
  <c r="H288" i="7"/>
  <c r="H230" i="7"/>
  <c r="H177" i="7"/>
  <c r="H125" i="7"/>
  <c r="G12" i="43" l="1"/>
  <c r="D28" i="38" s="1"/>
  <c r="G18" i="43"/>
  <c r="J28" i="38" s="1"/>
  <c r="G1" i="43" l="1"/>
  <c r="I886" i="7" l="1"/>
  <c r="G886" i="7"/>
  <c r="E886" i="7"/>
  <c r="I828" i="7"/>
  <c r="G828" i="7"/>
  <c r="E828" i="7"/>
  <c r="I770" i="7"/>
  <c r="G770" i="7"/>
  <c r="E770" i="7"/>
  <c r="I712" i="7"/>
  <c r="G712" i="7"/>
  <c r="E712" i="7"/>
  <c r="I654" i="7"/>
  <c r="G654" i="7"/>
  <c r="E654" i="7"/>
  <c r="I596" i="7"/>
  <c r="G596" i="7"/>
  <c r="E596" i="7"/>
  <c r="I538" i="7"/>
  <c r="G538" i="7"/>
  <c r="E538"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<sst xmlns="http://schemas.openxmlformats.org/spreadsheetml/2006/main" count="2400" uniqueCount="962">
  <si>
    <t xml:space="preserve">Juvenile Justice Crime Prevention Act - Youthful Offender Block Grant  </t>
  </si>
  <si>
    <t>2019 Expenditure and Data Report</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</si>
  <si>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</si>
  <si>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</si>
  <si>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</si>
  <si>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A.  CONTACT INFORMATION</t>
  </si>
  <si>
    <t>COUNTY NAME</t>
  </si>
  <si>
    <t>DATE OF REPORT</t>
  </si>
  <si>
    <t>Ventura</t>
  </si>
  <si>
    <t>B.  PRIMARY CONTACT</t>
  </si>
  <si>
    <t>NAME</t>
  </si>
  <si>
    <t>TITLE</t>
  </si>
  <si>
    <t>Carrie Vredenburgh</t>
  </si>
  <si>
    <t>Division Manager</t>
  </si>
  <si>
    <t>TELEPHONE NUMBER</t>
  </si>
  <si>
    <t>EMAIL ADDRESS</t>
  </si>
  <si>
    <t>805-973-5123</t>
  </si>
  <si>
    <t>carrie.vredenburgh@ventura.org</t>
  </si>
  <si>
    <t>C.  SECONDARY CONTACT (OPTIONAL)</t>
  </si>
  <si>
    <t>Sandra Carrillo</t>
  </si>
  <si>
    <t>805-981-5545</t>
  </si>
  <si>
    <t>sandra.carrillo@ventura.org</t>
  </si>
  <si>
    <t>COMPLETING THE REMAINDER OF THE REPORT:</t>
  </si>
  <si>
    <t>COUNTYWIDE JUVENILE JUSTICE DATA for:</t>
  </si>
  <si>
    <t>In the blank boxes below, enter the data from your Report 1 received from DOJ as titled below:</t>
  </si>
  <si>
    <t>Referrals of Juveniles to Probation Departments for Delinquent Acts, January 1 - December 31, 2019
Age by Referral Type, Gender, Race/Ethnic Group, Referral Source, Detention, Prosecutor Action, and Probation Department Disposition
Report 1</t>
  </si>
  <si>
    <t>Probation Department Disposition</t>
  </si>
  <si>
    <t>Informal Probation</t>
  </si>
  <si>
    <t>Diversions</t>
  </si>
  <si>
    <t>Petitions Filed</t>
  </si>
  <si>
    <r>
      <t xml:space="preserve">Gender   </t>
    </r>
    <r>
      <rPr>
        <b/>
        <u/>
        <sz val="11"/>
        <color rgb="FFFF0000"/>
        <rFont val="Arial"/>
        <family val="2"/>
      </rPr>
      <t>(OPTIONAL)</t>
    </r>
  </si>
  <si>
    <t>Male</t>
  </si>
  <si>
    <t>Female</t>
  </si>
  <si>
    <t>TOTAL</t>
  </si>
  <si>
    <r>
      <t xml:space="preserve">Race/Ethnic Group  </t>
    </r>
    <r>
      <rPr>
        <b/>
        <u/>
        <sz val="11"/>
        <color rgb="FFFF0000"/>
        <rFont val="Arial"/>
        <family val="2"/>
      </rPr>
      <t xml:space="preserve"> (OPTIONAL)</t>
    </r>
  </si>
  <si>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</si>
  <si>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</si>
  <si>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</si>
  <si>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</si>
  <si>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</si>
  <si>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</si>
  <si>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</si>
  <si>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</si>
  <si>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</si>
  <si>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</si>
  <si>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</si>
  <si>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</si>
  <si>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</si>
  <si>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</si>
  <si>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</si>
  <si>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</si>
  <si>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</si>
  <si>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</si>
  <si>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</si>
  <si>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</si>
  <si>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</si>
  <si>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</si>
  <si>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</si>
  <si>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</si>
  <si>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</si>
  <si>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t>California Youth Authority</t>
    </r>
    <r>
      <rPr>
        <b/>
        <sz val="12"/>
        <rFont val="Arial"/>
        <family val="2"/>
      </rPr>
      <t>*</t>
    </r>
  </si>
  <si>
    <t>Subsequent Actions</t>
  </si>
  <si>
    <t>Technical Violations</t>
  </si>
  <si>
    <r>
      <rPr>
        <b/>
        <u/>
        <sz val="11"/>
        <color theme="1"/>
        <rFont val="Arial"/>
        <family val="2"/>
      </rPr>
      <t xml:space="preserve">Sex  </t>
    </r>
    <r>
      <rPr>
        <b/>
        <u/>
        <sz val="11"/>
        <color rgb="FFFF0000"/>
        <rFont val="Arial"/>
        <family val="2"/>
      </rPr>
      <t xml:space="preserve"> (OPTIONAL)</t>
    </r>
  </si>
  <si>
    <r>
      <t xml:space="preserve">Race/Ethnic Group   </t>
    </r>
    <r>
      <rPr>
        <b/>
        <u/>
        <sz val="11"/>
        <color rgb="FFFF0000"/>
        <rFont val="Arial"/>
        <family val="2"/>
      </rPr>
      <t>(OPTIONAL)</t>
    </r>
  </si>
  <si>
    <r>
      <rPr>
        <b/>
        <sz val="12"/>
        <rFont val="Arial"/>
        <family val="2"/>
      </rPr>
      <t>*</t>
    </r>
    <r>
      <rPr>
        <b/>
        <sz val="9"/>
        <rFont val="Arial"/>
        <family val="2"/>
      </rPr>
      <t xml:space="preserve"> The JCPSS reports show "California Youth Authority," however it is now called the "Division of Juvenile Justice."</t>
    </r>
  </si>
  <si>
    <t>In the blank boxes below, enter your juvenile arrest data from last year (2019).</t>
  </si>
  <si>
    <t>Arrest data by county can be found at:</t>
  </si>
  <si>
    <t xml:space="preserve">https://openjustice.doj.ca.gov/exploration/crime-statistics/arrests </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</si>
  <si>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</si>
  <si>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</si>
  <si>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</si>
  <si>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</si>
  <si>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</si>
  <si>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</si>
  <si>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</si>
  <si>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</si>
  <si>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</si>
  <si>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</si>
  <si>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</si>
  <si>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</si>
  <si>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</si>
  <si>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</si>
  <si>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</si>
  <si>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</si>
  <si>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</si>
  <si>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</si>
  <si>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</si>
  <si>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</si>
  <si>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</si>
  <si>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</si>
  <si>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</si>
  <si>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</si>
  <si>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</si>
  <si>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</si>
  <si>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</si>
  <si>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</si>
  <si>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</si>
  <si>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</si>
  <si>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</si>
  <si>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</si>
  <si>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</si>
  <si>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</si>
  <si>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</si>
  <si>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</si>
  <si>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</si>
  <si>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</si>
  <si>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</si>
  <si>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</si>
  <si>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</si>
  <si>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</si>
  <si>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</si>
  <si>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</si>
  <si>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</si>
  <si>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</si>
  <si>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</si>
  <si>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</si>
  <si>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</si>
  <si>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</si>
  <si>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</si>
  <si>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</si>
  <si>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</si>
  <si>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</si>
  <si>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</si>
  <si>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</si>
  <si>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</si>
  <si>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</si>
  <si>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</si>
  <si>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</si>
  <si>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</si>
  <si>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</si>
  <si>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</si>
  <si>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</si>
  <si>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</si>
  <si>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</si>
  <si>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</si>
  <si>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</si>
  <si>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</si>
  <si>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</si>
  <si>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</si>
  <si>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</si>
  <si>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</si>
  <si>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</si>
  <si>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t xml:space="preserve">Professional Services </t>
    </r>
    <r>
      <rPr>
        <sz val="10"/>
        <rFont val="Arial"/>
        <family val="2"/>
      </rPr>
      <t>includes all services provided by individuals and agencies with whom the County contracts. The county is responsible for reimbursing every contracted individual/agency.</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</si>
  <si>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</si>
  <si>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</si>
  <si>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r>
      <t>Administrative Overhead</t>
    </r>
    <r>
      <rPr>
        <sz val="10"/>
        <rFont val="Arial"/>
        <family val="2"/>
      </rPr>
      <t xml:space="preserve"> includes all costs associated with administration of the program, placement, service, strategy, and/or system enhancement being supported by JJCPA and/or YOBG funds.</t>
    </r>
  </si>
  <si>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</si>
  <si>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</si>
  <si>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And, as previously stated, we </t>
    </r>
    <r>
      <rPr>
        <b/>
        <sz val="10"/>
        <rFont val="Arial"/>
        <family val="2"/>
      </rPr>
      <t>strongly suggest you use Spell Check</t>
    </r>
    <r>
      <rPr>
        <sz val="10"/>
        <rFont val="Arial"/>
        <family val="2"/>
      </rPr>
      <t xml:space="preserve"> before returning to the BSCC.</t>
    </r>
  </si>
  <si>
    <t>1. Program, Placement, Service, Strategy, or System Enhancement</t>
  </si>
  <si>
    <t xml:space="preserve">Name of program, placement, service, </t>
  </si>
  <si>
    <t>EVENING REPORTING CENTERS (ERC)</t>
  </si>
  <si>
    <t>strategy or system enhancement (Required):</t>
  </si>
  <si>
    <r>
      <t>Expenditure Category (Required)</t>
    </r>
    <r>
      <rPr>
        <sz val="8"/>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</si>
  <si>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</si>
  <si>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</si>
  <si>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</si>
  <si>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</si>
  <si>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</si>
  <si>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</si>
  <si>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</si>
  <si>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</si>
  <si>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</si>
  <si>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</si>
  <si>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</si>
  <si>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</si>
  <si>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</si>
  <si>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</si>
  <si>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</si>
  <si>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 xml:space="preserve">The ERCs address the need for community-based alternatives to detention and assist in the reduction of youth of color admissions into the Juvenile Facilities. There are currently three ERCs in the County of Ventura: The Boys and Girls Club in Oxnard, One Step a la Vez in Fillmore, and Big Brothers Big Sisters in Simi Valley. The ERCs serve youth ages 12 ½ to 18 who reside in the designated areas of the county. Approximately 65 youth are served per month, and the youth attend the ERCs program for approximately 20-45 business days. The ERCs utilize evidence-based programming for the selected youth that strives to build positive personal development and professional skills among participants (i.e. positive self-identify, hope about one's future, reduce recidivism, educational, vocational, social, emotional, and cultural competencies, community and civic involvement, the knowledge, skills, strategies and attitudes necessary to have a positive foundation for change and values enabling one to develop positive relationships with others). The programmatic goals include: Reduce recidivism; promote and implement positive youth development; track youth who successfully complete the program and continue to attend the ERCs; enhance public safety; and promote and increase academic success, character, citizenship, and healthy lifestyles. The centers are socially and environmentally safe facilities for youth to attend. The programs are based upon physical, emotional, cultural, and social needs of youth, and offered in a non-competitive environment that encourages skill development, self-esteem, and acceptance. It also reinforces positive social values that benefit the community.  In addition, the Evening Reporting Centers now accept referrals from schools and community-based entities guiding a youth in a positive direction and as an early intervention.  This has been extremely effective; approximately 60% of youth participating in the ERCs are community-based referrals. Collectively, the ERCs received referrals for 280 youth in need of services. 78% of youth have continued to participate in the program following their successful discharge.                                                                                                                                           Due to COVID-19, the ERCs were required to close in compliance with State and County orders.  All the ERCs transitioned to providing program services and support to youth virtually.  In addition, the ERCs assisted youth and their families by providing meals and/or basic food staples.  
 </t>
  </si>
  <si>
    <t>2. Program, Placement, Service, Strategy, or System Enhancement</t>
  </si>
  <si>
    <t>TRUANCY HABITS REDUCED INCREASES VITAL</t>
  </si>
  <si>
    <t>EDUCATION (THRIVE)</t>
  </si>
  <si>
    <t> </t>
  </si>
  <si>
    <t>THRIVE is a collaborative effort between the Ventura County District Attorney's Office, Public Defender's Office, Probation Agency, Public Health, and the School Attendance Review Boards (SARB). 
THRIVE provides truancy intervention for students from 13 Ventura County school districts, which include 31 individual school/district sites. THRIVE aims to help all children with chronic absenteeism between the ages of 6 to 18, offering appropriate remedial and community referral services during the SARB meetings, based on the youth's needs that have brought them to SARB (i.e. homelessness, mental health, medical, transportation, etc.). Between September 1, 2019 and April 15, 2020, 946 students have been served throughout the county and a total of 1,574 THRIVE student meetings have been held.   
THRIVE utilizes the services of three Public Health Nurses which assist in determining whether there are medical reasons for the youth's truancy. For the first three quarters of this fiscal year, nurses attended 87 SARB meetings, providing youth and/or their families 349 referrals to services. Additionally, Public Health Nurses attend Child and Family Team Meetings (CFTs) for youth who have been identified as Commercially and Sexually Exploited Children (CSEC). The nurses provide health information and service referrals to CSEC youth in an effort to prevent truancy and further involvement in the juvenile justice system.   
If the services offered through THRIVE prove ineffective, prosecutors may utilize formal court sanctions as a means of ensuring truants and their parents are held accountable. The support of the Juvenile Court has proved essential to realizing change in the behavior of truants for whom other services are ineffective. 
During the 2018-2019 school year, before the intervention of THRIVE, students were attending school at an overall rate of 77.8%. After THRIVE intervention, overall attendance jumped to 85.6% and unexcused absences dropped significantly from 17.2% to 10.5%. These results demonstrate the effectiveness of THRIVE in reducing truancy in Ventura County schools.
Also, with efforts by the YES collaborative, representatives from the Ventura County Office of Education (VCOE) and Oxnard Union High School District have been long-standing members that are interested in exploring ways to improve outcomes for youth of color by promoting regular attendance, preventing the use of punitive discipline and ensuring that youth who are on probation or in detention have the support they need to achieve academically.                                                                                                                           Due to school closures as a result of COVID-19, THRIVE activities were temporarily suspended.</t>
  </si>
  <si>
    <t>3. Program, Placement, Service, Strategy, or System Enhancement</t>
  </si>
  <si>
    <t xml:space="preserve">Repeat Offender Prevention Program (ROPP)  </t>
  </si>
  <si>
    <t>ROPP is an intensive, comprehensive, multi-disciplinary program that provides services during the fiscal year for up to 100 first time Formal wards, Informal probationers, and DEJ youth who are 16.5 years or younger at the time they are  placed on probation, and who demonstrate at least three of four risk factors associated with chronic delinquency. The ROPP team is comprised of three intensive supervision probation officers, three Marriage and Family Therapist, three Youth Advocates, and a Tutoring/Reading Specialist. The program is guided by evidence-based practices, and the ROPP team meets bi-weekly to discuss the cases.
The primary objective of ROPP is to provide early identification and services to potential high risk repeat offenders. A few of the program's broadly defined objectives include breaking the patterns of delinquency, antisocial behavior and domestic violence, by providing services before the youth become entrenched in the juvenile justice system.  
The target population is known as the "8% problem;" youth who are identified as having specific characteristics which make them a high risk for re-offending. The majority of the chronic recidivists are an 8% group with the following characteristics:
1. 16.5 years of age or younger at the time of their initial case disposition
2.  Declared wards of the Court at their initial system referral
3.  Found to have significantly more problems in four composite areas:
   a. Significant family problems such as domestic violence, child abuse and     family criminality  
     b. School attendance or performance problems
     c. Drug and/or alcohol use
     d. Pre-Delinquent behaviors such as gangs, runaway, stealing
It was found that chronic juvenile offenders have a significantly higher rate of incarceration and recidivism. More than half of the families of high-risk youth have significant problems impeding their ability to provide adequate supervision, structure, or support to their children. Youth are reviewed periodically throughout the time spent in the program. The length of the program is open ended and based on the stability of the family and the sufficiency to which the identified risk factors have been addressed.</t>
  </si>
  <si>
    <t>4. Program, Placement, Service, Strategy, or System Enhancement</t>
  </si>
  <si>
    <t xml:space="preserve">Juvenile Justice Treatment for Sexually Abusive Youth </t>
  </si>
  <si>
    <t>strategy or system enhancement:</t>
  </si>
  <si>
    <r>
      <t>Expenditure Category</t>
    </r>
    <r>
      <rPr>
        <sz val="8"/>
        <rFont val="Arial"/>
        <family val="2"/>
      </rPr>
      <t>:</t>
    </r>
  </si>
  <si>
    <t>5. Program, Placement, Service, Strategy, or System Enhancement</t>
  </si>
  <si>
    <t>EARLY INTERVENTION AND PREVENTION</t>
  </si>
  <si>
    <t>6. Program, Placement, Service, Strategy, or System Enhancement</t>
  </si>
  <si>
    <t>COMMERCIALY AND SEXUALLY EXPLOITED CHILDREN (CSEC) MENTORING AND CASE MANAGEMENT</t>
  </si>
  <si>
    <t xml:space="preserve">This program builds supportive relationships with high-risk youth, current victims, and recovering survivors ages 12-21. It aims to provide support and a mentor team to vulnerable youth who have a history of abusive and dysfunctional relationships. Mentors provide social and emotional support and focus on modeling wholesome relationships, encouraging a positive self-identity, teaching life skills, and introducing healthy choices.  Each youth is assigned a case manager and may participate in both individual and group classes.
Additionally, Public Health Nurses attend Child and Family Team Meetings (CFTs) for youth who have been identified as CSEC. The nurses provide health information and service referrals to CSEC youth in an effort to prevent truancy and further involvement in the juvenile justice system.   </t>
  </si>
  <si>
    <t>7. Program, Placement, Service, Strategy, or System Enhancement</t>
  </si>
  <si>
    <t>Leaders Program</t>
  </si>
  <si>
    <t>9. Program, Placement, Service, Strategy, or System Enhancement</t>
  </si>
  <si>
    <t xml:space="preserve">
Reins of H.O.P.E. Equine Therapy</t>
  </si>
  <si>
    <t>10. Program, Placement, Service, Strategy, or System Enhancement</t>
  </si>
  <si>
    <t xml:space="preserve">Enrichment Program Services </t>
  </si>
  <si>
    <t xml:space="preserve"> </t>
  </si>
  <si>
    <t>11. Program, Placement, Service, Strategy, or System Enhancement</t>
  </si>
  <si>
    <t>Specialized Training &amp; Employment Project for Success for Youth (STEPS-Y)</t>
  </si>
  <si>
    <t>12. Program, Placement, Service, Strategy, or System Enhancement</t>
  </si>
  <si>
    <t>Keeping Engaged Youth Successful (KEYS)</t>
  </si>
  <si>
    <t>13. Program, Placement, Service, Strategy, or System Enhancement</t>
  </si>
  <si>
    <t>14. Program, Placement, Service, Strategy, or System Enhancement</t>
  </si>
  <si>
    <t>15. Program, Placement, Service, Strategy, or System Enhancement</t>
  </si>
  <si>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</si>
  <si>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</si>
  <si>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</si>
  <si>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</si>
  <si>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</si>
  <si>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</si>
  <si>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</si>
  <si>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</si>
  <si>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</si>
  <si>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</si>
  <si>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</si>
  <si>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</si>
  <si>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</si>
  <si>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</si>
  <si>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</si>
  <si>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FOR BSCC USE ONLY</t>
  </si>
  <si>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</si>
  <si>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t>Sex (Male &amp; Female)</t>
  </si>
  <si>
    <t>Race/Ethnic Group</t>
  </si>
  <si>
    <t>(Optional)</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</si>
  <si>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</si>
  <si>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</si>
  <si>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</si>
  <si>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</si>
  <si>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</si>
  <si>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</si>
  <si>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</si>
  <si>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</si>
  <si>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</si>
  <si>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</si>
  <si>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</si>
  <si>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</si>
  <si>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</si>
  <si>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</si>
  <si>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</si>
  <si>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</si>
  <si>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</si>
  <si>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</si>
  <si>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</si>
  <si>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</si>
  <si>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</si>
  <si>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</si>
  <si>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</si>
  <si>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</si>
  <si>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</si>
  <si>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</si>
  <si>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</si>
  <si>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</si>
  <si>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</si>
  <si>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t xml:space="preserve">    provided.)  </t>
    </r>
    <r>
      <rPr>
        <b/>
        <sz val="10"/>
        <rFont val="Arial"/>
        <family val="2"/>
      </rPr>
      <t/>
    </r>
  </si>
  <si>
    <t>3.  In what ways, if any, does your strategy differ from your strategy for dealing with other offenders?</t>
  </si>
  <si>
    <t xml:space="preserve">4.  What plans, if any, do you have for developing a strategy for dealing with non-707(b) offenders? </t>
  </si>
  <si>
    <r>
      <t xml:space="preserve">    (Limit your response to the space provided.)  </t>
    </r>
    <r>
      <rPr>
        <b/>
        <sz val="10"/>
        <rFont val="Arial"/>
        <family val="2"/>
      </rPr>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</si>
  <si>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</si>
  <si>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</si>
  <si>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</si>
  <si>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</si>
  <si>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</si>
  <si>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</si>
  <si>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</si>
  <si>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3.</t>
    </r>
    <r>
      <rPr>
        <sz val="10"/>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</si>
  <si>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</si>
  <si>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</si>
  <si>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</si>
  <si>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</si>
  <si>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</si>
  <si>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</si>
  <si>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</si>
  <si>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</si>
  <si>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</si>
  <si>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</si>
  <si>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</si>
  <si>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</si>
  <si>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</si>
  <si>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</si>
  <si>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</si>
  <si>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</si>
  <si>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</si>
  <si>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</si>
  <si>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</si>
  <si>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</si>
  <si>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</si>
  <si>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</si>
  <si>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</si>
  <si>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</si>
  <si>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</si>
  <si>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</si>
  <si>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</si>
  <si>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</si>
  <si>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</si>
  <si>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</si>
  <si>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</si>
  <si>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</si>
  <si>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</si>
  <si>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</si>
  <si>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</si>
  <si>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</si>
  <si>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</si>
  <si>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</si>
  <si>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</si>
  <si>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</si>
  <si>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</si>
  <si>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</si>
  <si>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</si>
  <si>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</si>
  <si>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</si>
  <si>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</si>
  <si>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</si>
  <si>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</si>
  <si>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</si>
  <si>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</si>
  <si>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</si>
  <si>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</si>
  <si>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</si>
  <si>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</si>
  <si>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</si>
  <si>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</si>
  <si>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</si>
  <si>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</si>
  <si>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</si>
  <si>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</si>
  <si>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</si>
  <si>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</si>
  <si>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</si>
  <si>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</si>
  <si>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</si>
  <si>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</si>
  <si>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</si>
  <si>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</si>
  <si>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</si>
  <si>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</si>
  <si>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</si>
  <si>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</si>
  <si>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</si>
  <si>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</si>
  <si>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</si>
  <si>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</si>
  <si>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</si>
  <si>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</si>
  <si>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</si>
  <si>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</si>
  <si>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</si>
  <si>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</si>
  <si>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</si>
  <si>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</si>
  <si>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</si>
  <si>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</si>
  <si>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</si>
  <si>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</si>
  <si>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</si>
  <si>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</si>
  <si>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</si>
  <si>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</si>
  <si>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</si>
  <si>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</si>
  <si>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</si>
  <si>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</si>
  <si>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</si>
  <si>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</si>
  <si>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</si>
  <si>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</si>
  <si>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</si>
  <si>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</si>
  <si>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</si>
  <si>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</si>
  <si>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</si>
  <si>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</si>
  <si>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</si>
  <si>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</si>
  <si>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</si>
  <si>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</si>
  <si>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</si>
  <si>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</si>
  <si>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</si>
  <si>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</si>
  <si>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</si>
  <si>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</si>
  <si>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</si>
  <si>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</si>
  <si>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</si>
  <si>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</si>
  <si>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</si>
  <si>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</si>
  <si>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</si>
  <si>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</si>
  <si>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</si>
  <si>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</si>
  <si>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</si>
  <si>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</si>
  <si>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</si>
  <si>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</si>
  <si>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</si>
  <si>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</si>
  <si>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</si>
  <si>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</si>
  <si>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</si>
  <si>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</si>
  <si>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</si>
  <si>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</si>
  <si>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</si>
  <si>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</si>
  <si>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</si>
  <si>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</si>
  <si>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</si>
  <si>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</si>
  <si>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</si>
  <si>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</si>
  <si>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</si>
  <si>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</si>
  <si>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</si>
  <si>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</si>
  <si>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</si>
  <si>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</si>
  <si>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</si>
  <si>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</si>
  <si>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</si>
  <si>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</si>
  <si>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</si>
  <si>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</si>
  <si>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</si>
  <si>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</si>
  <si>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</si>
  <si>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</si>
  <si>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</si>
  <si>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</si>
  <si>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</si>
  <si>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</si>
  <si>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</si>
  <si>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</si>
  <si>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</si>
  <si>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</si>
  <si>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</si>
  <si>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</si>
  <si>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</si>
  <si>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</si>
  <si>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</si>
  <si>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</si>
  <si>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</si>
  <si>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</si>
  <si>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</si>
  <si>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</si>
  <si>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</si>
  <si>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</si>
  <si>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</si>
  <si>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</si>
  <si>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</si>
  <si>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</si>
  <si>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</si>
  <si>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</si>
  <si>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</si>
  <si>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</si>
  <si>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</si>
  <si>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</si>
  <si>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</si>
  <si>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</si>
  <si>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</si>
  <si>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</si>
  <si>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</si>
  <si>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</si>
  <si>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</si>
  <si>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</si>
  <si>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</si>
  <si>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</si>
  <si>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</si>
  <si>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</si>
  <si>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</si>
  <si>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</si>
  <si>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</si>
  <si>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</si>
  <si>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</si>
  <si>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</si>
  <si>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</si>
  <si>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</si>
  <si>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</si>
  <si>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</si>
  <si>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</si>
  <si>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</si>
  <si>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</si>
  <si>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</si>
  <si>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</si>
  <si>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</si>
  <si>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</si>
  <si>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</si>
  <si>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</si>
  <si>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</si>
  <si>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</si>
  <si>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</si>
  <si>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</si>
  <si>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</si>
  <si>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</si>
  <si>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</si>
  <si>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</si>
  <si>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</si>
  <si>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</si>
  <si>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</si>
  <si>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</si>
  <si>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</si>
  <si>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</si>
  <si>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</si>
  <si>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</si>
  <si>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</si>
  <si>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</si>
  <si>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</si>
  <si>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</si>
  <si>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</si>
  <si>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</si>
  <si>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</si>
  <si>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</si>
  <si>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</si>
  <si>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</si>
  <si>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</si>
  <si>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</si>
  <si>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</si>
  <si>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</si>
  <si>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</si>
  <si>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</si>
  <si>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</si>
  <si>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</si>
  <si>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</si>
  <si>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</si>
  <si>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</si>
  <si>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</si>
  <si>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</si>
  <si>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</si>
  <si>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</si>
  <si>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</si>
  <si>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</si>
  <si>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</si>
  <si>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</si>
  <si>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</si>
  <si>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</si>
  <si>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</si>
  <si>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</si>
  <si>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</si>
  <si>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</si>
  <si>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</si>
  <si>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</si>
  <si>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</si>
  <si>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</si>
  <si>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</si>
  <si>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</si>
  <si>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</si>
  <si>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</si>
  <si>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</si>
  <si>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</si>
  <si>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</si>
  <si>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</si>
  <si>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</si>
  <si>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</si>
  <si>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</si>
  <si>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</si>
  <si>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</si>
  <si>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</si>
  <si>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</si>
  <si>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</si>
  <si>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</si>
  <si>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</si>
  <si>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</si>
  <si>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</si>
  <si>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</si>
  <si>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</si>
  <si>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</si>
  <si>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</si>
  <si>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</si>
  <si>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</si>
  <si>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</si>
  <si>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</si>
  <si>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</si>
  <si>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</si>
  <si>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</si>
  <si>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</si>
  <si>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</si>
  <si>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</si>
  <si>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</si>
  <si>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</si>
  <si>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</si>
  <si>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</si>
  <si>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</si>
  <si>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</si>
  <si>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</si>
  <si>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</si>
  <si>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</si>
  <si>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</si>
  <si>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</si>
  <si>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</si>
  <si>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</si>
  <si>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</si>
  <si>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</si>
  <si>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</si>
  <si>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</si>
  <si>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</si>
  <si>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</si>
  <si>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</si>
  <si>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</si>
  <si>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</si>
  <si>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</si>
  <si>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</si>
  <si>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</si>
  <si>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</si>
  <si>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</si>
  <si>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</si>
  <si>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</si>
  <si>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</si>
  <si>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</si>
  <si>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</si>
  <si>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</si>
  <si>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</si>
  <si>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</si>
  <si>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</si>
  <si>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</si>
  <si>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</si>
  <si>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</si>
  <si>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</si>
  <si>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</si>
  <si>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</si>
  <si>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</si>
  <si>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</si>
  <si>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</si>
  <si>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</si>
  <si>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</si>
  <si>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</si>
  <si>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</si>
  <si>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</si>
  <si>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</si>
  <si>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</si>
  <si>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</si>
  <si>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</si>
  <si>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</si>
  <si>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</si>
  <si>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</si>
  <si>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</si>
  <si>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</si>
  <si>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</si>
  <si>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</si>
  <si>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</si>
  <si>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</si>
  <si>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</si>
  <si>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</si>
  <si>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</si>
  <si>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</si>
  <si>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</si>
  <si>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</si>
  <si>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</si>
  <si>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</si>
  <si>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</si>
  <si>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</si>
  <si>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</si>
  <si>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</si>
  <si>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</si>
  <si>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</si>
  <si>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</si>
  <si>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</si>
  <si>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</si>
  <si>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</si>
  <si>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</si>
  <si>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</si>
  <si>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</si>
  <si>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</si>
  <si>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</si>
  <si>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</si>
  <si>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</si>
  <si>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</si>
  <si>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</si>
  <si>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</si>
  <si>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</si>
  <si>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</si>
  <si>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</si>
  <si>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</si>
  <si>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</si>
  <si>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</si>
  <si>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</si>
  <si>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</si>
  <si>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</si>
  <si>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</si>
  <si>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</si>
  <si>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</si>
  <si>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</si>
  <si>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</si>
  <si>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</si>
  <si>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</si>
  <si>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</si>
  <si>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</si>
  <si>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</si>
  <si>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</si>
  <si>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</si>
  <si>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</si>
  <si>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</si>
  <si>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</si>
  <si>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</si>
  <si>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</si>
  <si>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</si>
  <si>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</si>
  <si>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</si>
  <si>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</si>
  <si>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</si>
  <si>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</si>
  <si>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</si>
  <si>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</si>
  <si>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</si>
  <si>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</si>
  <si>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</si>
  <si>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</si>
  <si>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</si>
  <si>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</si>
  <si>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</si>
  <si>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</si>
  <si>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</si>
  <si>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</si>
  <si>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</si>
  <si>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</si>
  <si>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</si>
  <si>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</si>
  <si>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</si>
  <si>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</si>
  <si>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</si>
  <si>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</si>
  <si>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</si>
  <si>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</si>
  <si>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</si>
  <si>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</si>
  <si>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</si>
  <si>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</si>
  <si>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</si>
  <si>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</si>
  <si>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</si>
  <si>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</si>
  <si>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</si>
  <si>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</si>
  <si>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</si>
  <si>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</si>
  <si>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</si>
  <si>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</si>
  <si>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</si>
  <si>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</si>
  <si>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</si>
  <si>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</si>
  <si>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</si>
  <si>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</si>
  <si>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</si>
  <si>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</si>
  <si>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</si>
  <si>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</si>
  <si>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</si>
  <si>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</si>
  <si>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</si>
  <si>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</si>
  <si>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</si>
  <si>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</si>
  <si>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</si>
  <si>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</si>
  <si>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</si>
  <si>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</si>
  <si>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</si>
  <si>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</si>
  <si>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</si>
  <si>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</si>
  <si>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</si>
  <si>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</si>
  <si>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</si>
  <si>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</si>
  <si>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</si>
  <si>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</si>
  <si>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</si>
  <si>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</si>
  <si>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</si>
  <si>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</si>
  <si>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</si>
  <si>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</si>
  <si>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</si>
  <si>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</si>
  <si>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</si>
  <si>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</si>
  <si>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</si>
  <si>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</si>
  <si>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</si>
  <si>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</si>
  <si>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</si>
  <si>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</si>
  <si>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</si>
  <si>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</si>
  <si>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</si>
  <si>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</si>
  <si>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</si>
  <si>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</si>
  <si>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</si>
  <si>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</si>
  <si>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</si>
  <si>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</si>
  <si>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</si>
  <si>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</si>
  <si>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</si>
  <si>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</si>
  <si>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</si>
  <si>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</si>
  <si>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</si>
  <si>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</si>
  <si>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</si>
  <si>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</si>
  <si>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</si>
  <si>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</si>
  <si>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</si>
  <si>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</si>
  <si>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</si>
  <si>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</si>
  <si>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</si>
  <si>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</si>
  <si>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</si>
  <si>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</si>
  <si>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</si>
  <si>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</si>
  <si>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</si>
  <si>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</si>
  <si>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</si>
  <si>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</si>
  <si>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</si>
  <si>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</si>
  <si>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</si>
  <si>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</si>
  <si>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</si>
  <si>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</si>
  <si>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</si>
  <si>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</si>
  <si>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</si>
  <si>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</si>
  <si>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</si>
  <si>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</si>
  <si>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</si>
  <si>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</si>
  <si>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</si>
  <si>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</si>
  <si>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</si>
  <si>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</si>
  <si>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</si>
  <si>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</si>
  <si>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</si>
  <si>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</si>
  <si>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</si>
  <si>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</si>
  <si>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</si>
  <si>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</si>
  <si>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</si>
  <si>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</si>
  <si>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</si>
  <si>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</si>
  <si>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</si>
  <si>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</si>
  <si>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</si>
  <si>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</si>
  <si>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</si>
  <si>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</si>
  <si>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</si>
  <si>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</si>
  <si>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</si>
  <si>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</si>
  <si>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</si>
  <si>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</si>
  <si>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</si>
  <si>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</si>
  <si>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</si>
  <si>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</si>
  <si>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</si>
  <si>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</si>
  <si>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</si>
  <si>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</si>
  <si>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</si>
  <si>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</si>
  <si>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</si>
  <si>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</si>
  <si>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</si>
  <si>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</si>
  <si>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</si>
  <si>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</si>
  <si>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</si>
  <si>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</si>
  <si>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</si>
  <si>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</si>
  <si>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</si>
  <si>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</si>
  <si>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</si>
  <si>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</si>
  <si>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</si>
  <si>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</si>
  <si>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</si>
  <si>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</si>
  <si>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</si>
  <si>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</si>
  <si>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</si>
  <si>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</si>
  <si>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</si>
  <si>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</si>
  <si>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</si>
  <si>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</si>
  <si>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</si>
  <si>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</si>
  <si>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</si>
  <si>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</si>
  <si>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</si>
  <si>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</si>
  <si>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</si>
  <si>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</si>
  <si>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</si>
  <si>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</si>
  <si>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</si>
  <si>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</si>
  <si>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</si>
  <si>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</si>
  <si>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</si>
  <si>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</si>
  <si>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</si>
  <si>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</si>
  <si>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</si>
  <si>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</si>
  <si>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</si>
  <si>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</si>
  <si>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</si>
  <si>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</si>
  <si>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</si>
  <si>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</si>
  <si>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</si>
  <si>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</si>
  <si>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</si>
  <si>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</si>
  <si>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</si>
  <si>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</si>
  <si>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</si>
  <si>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</si>
  <si>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</si>
  <si>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</si>
  <si>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</si>
  <si>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</si>
  <si>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</si>
  <si>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</si>
  <si>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</si>
  <si>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</si>
  <si>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</si>
  <si>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</si>
  <si>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</si>
  <si>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</si>
  <si>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</si>
  <si>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</si>
  <si>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</si>
  <si>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</si>
  <si>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</si>
  <si>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</si>
  <si>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</si>
  <si>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</si>
  <si>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</si>
  <si>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Yolo</t>
  </si>
  <si>
    <t>Yuba</t>
  </si>
  <si>
    <t xml:space="preserve">The Ventura County Probation Agency (VCPA) in collaboration with the Human Services Agency (HSA) Workforce, Innovation and Opportunity Act (WIOA) Division, implemented the Specialized Training &amp; Employment Project for Success for Youth (STEPS-Y). This program offers employment services, activities, and skills, comprehensive job search techniques, vocational assessment and training, career exploration, work readiness instruction, direct job placement and follow-up services to participants aged 16-20, involved in the Juvenile Justice System. Enrollment is based on specific criteria and includes an individual assessment for participants pre- and post-release from the Juvenile Facilities.
The strategy is to prepare these youth offenders for re-entry into the local workforce by offering them job search and job skills training, resume building, networking recognition and skills, supportive services, and other life skills training within the Juvenile Facilities or the Probation Day Reporting Center. An America’s Job Center of California (AJCC) is accessible to these participants and their families and offers a myriad of services and/or resources to assist with obtaining and maintaining employment.                                                                     
HSA staff consists of two Employment Specialists (ES). The ES serve as case manager, job coach, training facilitator, job developer, and placement specialist during pre- and post-release periods. HSA staff are located at the Probation office and have a specific schedule for youth interaction and case management.                                                                                                                                                                                                                                       
Between 7/1/19 and 03/1/20, 40 youth received services through the STEPS-Y Program and 11 youth obtained employment.                                                                                                                                        
Due to COVID-19, in person services ceased as of March 2020.  The ES continue to work with and support youth by phone and utilizing additional methods of contact.   </t>
  </si>
  <si>
    <t>Enrichment programming offers an array of services to youth in the Juvenile Facility that focus on continuing education, career and technology training, life skills, cultural arts and diversity, and cultural awareness. Programs include broadcast journalism, Paxton/Patterson Building Skills (introductory construction courses), landscaping and horticulture skills, poetry, origami, screen printing, Hi-Set testing (formerly GED), music and art lessons, sculpture, dance, exercise, community service activities, and equine based group therapy. A library is also available to the youth.                           
The program also offers two separate canine programs that are managed in a multiagency collaborative effort with a community based organization. The first is a therapy dog program, in which certified therapy dogs from two separate community organizations (Love on a Leash and Therapy Dogs International) visit the juvenile facilities up to twice weekly to provide emotional support to the youth.  
The second is a canine care and basic dog obedience dog training program, with dogs that reside full-time in the facility called "Pawsitive Steps." This program is a multi-agency collaboration with the Canine Animal Rescue League (C.A.R.L.), Ventura County Animal Shelter, Behavioral Health and Ventura County Office of Education to provide training, counseling, and education to the youth working with the selected dogs. With the assistance of a certified trainer, this program teaches youth how to properly care for and train a shelter dog and prepare it to pass a series of tests for certification in basic canine obedience.  Once the 12 to 16 week training is complete, the youth assist in preparing the dog for adoption into the community. Combined with the physical training and care of the dogs, there are additional program components consisting of Restorative Justice through Behavioral Health, humane education and career pathways. The youth will earn elective school credits during their participation. This program gives the youth the opportunity to give back to their community; enhance their social, educational and vocational skills; and promote their sense of responsibility, kindness and compassion.  
A Multi-Sensory De-Escalation Room (MSDR) was developed in the facility by re-purposing an unoccupied classroom.  The MDSR is used to identify a resident's triggers, strengths and suggested sensory activities that may assist with internal regulation of behavior. A resident's ability to use the resources in the environment to calm his/her emotions with staff engagement is a critical step in the process of self-regulation.  The MSDR environment promotes engagement and interaction between the resident and staff in a non-adversarial setting.                                                                                                                                                                                                                                                                                                           Probation will continue to engage in community outreach, provide re-entry services and enhanced dental/vision services to the youth. 
As of March, 2020, all outside programming was suspended due to COVID-19 and entry into the facility was limited to Agency employees.  BSCC one hour daily programming has continued and is currently offered by JF staff.</t>
  </si>
  <si>
    <t xml:space="preserve">The Reins of H.O.P.E. treatment team custom design activities for our youth with specific therapeutic goals/themes in mind. They include: recognizing emotions as energy, neither good nor bad, and beginning to distinguish one from another. Examine what safety means and how to create it. Examining personal styles of communication and their effect on self and others. Transforming shame into self-acceptance/worthiness. Beginning to recognize the sources of anger, what may be underneath it, and developing skills of emotional regulation. Learn skills of intention, mindfulness, power of pause, focused listening, leadership, and response vs. reaction to neutralize conflict.  Exploring and processing patterns externally through activities with horses, clients learn to describe their emotions accurately, identify and correct their distortions, and develop more positive coping strategies to enhance their general functioning. In other words, activities promote a change in thinking, which promotes a change in behavior. For these reasons, EAGALA-model Equine Assisted Psychotherapy can be regarded as Cognitive Behavioral Therapy (CBT) in nature.
Partnering with horses through the therapy process serves many functions. They provide nonjudgmental, concrete feedback for behaviors; they serve as a vehicle to propel the client toward growth and learning; they are a source of inspirational imagery and are often a source of pleasure, which helps to maintain motivation for treatment; they offer vast opportunities for metaphorical learning; their size, power, and stature add an element of challenge, unpredictability, and empowerment to each session; and they are social creatures with deﬁned roles in their herd, allowing endless analogies to human behavior. Horses add another relational dimension to the therapeutic experience. Elements of teamwork, cooperation, communication, successful challenge, healthy competition, and improved socialization are all easily introduced and coordinated, using the horse as a medium.
In designing a measurement tool specific for Equine therapy, a modified version of the Child and Adolescent Needs and Strengths tool was used both pre and post program for each participant.  The following findings were discovered for the male participants: Attention Deficit was reduced by 23%, Anxiety was reduced by 33%, Depression was reduced by 47%, Anger Control was reduced by 33% and Oppositional Behavior was reduced by 20%.  The participants Well-Being was increased by 19%, Talents and Interests were increased by 20%, Natural Supports were increased by 20%, Resiliency was increased by 7%, Communication was increased by 54% and Optimism was increased by 46%.  The following findings were discovered for the female participants:  Attention Deficit was reduced by 30%, Anxiety was reduced by 20%, Depression was reduced by 40%, Anger Control was reduced by 30% and Oppositional Behavior was reduced by 40%.  The participants Well-Being was increased by 10%, Talents and Interests were increased by 20%, Natural Supports were increased by 20%, Resiliency was increased by 20%, Communication was increased by 30% and Optimism was increased by 30%. </t>
  </si>
  <si>
    <t xml:space="preserve">Youth in this program have commitments of 60 days or more at the Juvenile Facilities. Programming is delivered on a group and/or individual basis. Youth in this program receive specialized programming, vocational training and drug and alcohol treatment services to help them transition back into the community. Specialized services, which are based on youth needs, may include: mental health treatment, gender specific classes, mentorships and other enrichment programming. Vocational training encompasses courses such as landscaping, screen printing and job readiness that are taught by professionals in the trade and/or by the Ventura County Office of Education. In addition, the Paxton/Patterson Building Skills construction course is part of the vocational training component that is taught by certified Probation Agency staff. The drug and alcohol treatment services provided to the youth in this program are funded through a separate funding source associated with the Ventura County Behavioral Health Department.
A total of 86 youth participated in this programming during FY 19-20.  In July and August of 2019, the Juvenile Facilities Landscape Program prepared and presented "A Child's Garden" exhibit at the Ventura County Fair.  They were awarded a 1st place ribbon for their division.                                                 </t>
  </si>
  <si>
    <r>
      <t>Ventura County contracts with Interface Children and Family Services to provide this program.  This program provides specialized early intervention services to youth and their families. The early intervention services are intended to divert youth from further juvenile justice involvement. Services will be brief and will focus on assessment, case management, family mediation, skill building, and counseling within a cognitive behavioral intervention framework. Services are provided to youth under age 18 who reside in Ventura County who are first and sometimes second time youth offenders who commit 601 offenses, miscellaneous misdemeanors, and lower level felony offenses (the felonies likely reserved for youth 13 and younger). The provider will respond to all referrals within 24 hours, provide a referral disposition within 30 days, and conduct a service assessment with youth/family to determine the most appropriate intervention. Staff will provide interventions for up to 90 days, then if needed, facilitate appropriate linkage to community partners as well as other counseling services. Modality of services will include weekly skill building group  - conflict resolution, anger management, healthy relationship skills, and other topics. Youth can join at any point.  During FY 19-20, Interface Children and Family Services provided early intervention and prevention services to divert 18 youth from further entering the juvenile justice system.                                                                                                                        There is one probation officer who reviews all juvenile citations and diverts appropriate cases to the Early Intervention Prevention Program provided by Interface. The DPO contacts youth and his/her families and makes treatment or other diversion referrals as necessary.  Additionally, the DPO contacts victims in order to establish restitution.</t>
    </r>
    <r>
      <rPr>
        <b/>
        <sz val="10"/>
        <color rgb="FFC00000"/>
        <rFont val="Arial"/>
        <family val="2"/>
      </rPr>
      <t xml:space="preserve"> </t>
    </r>
    <r>
      <rPr>
        <sz val="10"/>
        <rFont val="Arial"/>
        <family val="2"/>
      </rPr>
      <t>In FY 19-20, 2326 juvenile citations were processed by the Probation Agency, of which 1248 were handled informally through either a Diversion Program or single sanction approach.</t>
    </r>
  </si>
  <si>
    <t>The Ventura County Probation Agency contracts with Anew Therapeutic (Anew) to provide treatment to those youth who have been court ordered into treatment for sexually abusive behavior. Anew integrates treatment of the youth's trauma symptoms and response as well as his characterological strengths and deficits. Anew focuses on a Risk, Needs, and Responsivity (RNR) approach to identifying risks. Anew offers individual, group, and family therapy that complies with the California Coalition on Sexual Offending's guidelines for the assessment and treatment of sexually abusive youth.  In FY 19-20, Anew provided treatment services to 19 youth.</t>
  </si>
  <si>
    <t xml:space="preserve">The programs established under JJCPA have had a positive impact not only on the lives of youthful offenders and their families, but on communities throughout Ventura County. Based on the data for 2019, more youthful offenders were diverted from the Court system and handled informally by probation either utilizing a diversion program or a single sanction approach.  In addition, fewer petitions were brought before the Court for handling and of those, the Court afforded more youth an opportunity to address their conduct on lower levels of supervision.  As a result, Ventura County has experienced a decline in the number of youth that entered the justice system.     
It is also significant to note that the number of technical violations of probation dropped by approximately 40%. This drop can be attributed to a variety of things, including: increased officer education surrounding adolescent brain development and behavior, a continued shift in the culture related to working with justice involved youth, increased utilization of graduated responses, and the array of community based services available to youth and their families.  
The Evening Reporting Centers (ERCs) are an excellent example of community-based programs having an impact on justice involved youth. The Evening Reporting Centers now accept referrals from schools and community-based entities guiding a youth in a positive direction and as an early intervention.  This has been extremely effective; approximately 60% of youth participating in the ERCs are community-based referrals. Collectively, the ERCs received referrals for 280 youth in need of services.  78% of youth have continued to participate in the program following their discharge.  Another noteworthy achievement is the impact the THRIVE program has had on school attendance rates.  During the 2018-2019 school year, before the intervention of THRIVE, students were attending school at an overall rate of 77.8%. After THRIVE intervention, overall attendance jumped to 85.6% and unexcused absences dropped significantly from 17.2% to 10.5%. These results demonstrate the effectiveness of THRIVE in reducing truancy in Ventura County schools.
Lastly, programming at the Juvenile Justice Center is robust and provides the youth in custody many opportunities for rehabilitation and healing.  For instance, the Reins of H.O.P.E. Equine Program has shown tremendous outcomes for participants.  Both attention deficit and anxiety were reduced by 27% and depression was reduced by 44%.  Additionally, resiliency of participants rose 14% and optimism increased by 38%.  These outcomes are encouraging and validate the commitment of the JJCC and the Probation Agency to bring evidenced based programs to those youth with the highest needs.
</t>
  </si>
  <si>
    <t xml:space="preserve">The above data is inclusive of any referral to the Probation Agency that requires an expenditure of staff time and/or resources. </t>
  </si>
  <si>
    <t xml:space="preserve">To safely reduce reliance on secure detention, the Ventura County Probation Agency (VCPA) established the KEYS program. This program has been developed with the assistance of the National Council on Crime and Delinquency, Youth Offender Block Grant (YOBG) and the strategies found in the Juvenile Detention Alternatives Initiative (JDAI). It addresses the needs of the youth in the community as outlined in the Ventura County Juvenile Justice Master Plan, which provides strategies to reduce juvenile delinquency. 
The KEYS program is a collaborative partnership that includes the VCPA, Human Services Agency (HSA), and participating community-based organizations.  The KEYS program also welcomes volunteers. The KEYS program, as part of an overall continuum of juvenile supervision strategies, is a one stop resource center that offers rehabilitative services. Using evidence-based methods, participants will obtain the tools required to gain employment and become successful members of the community. The program goals include: providing a drop in center for the youth to work on enhancing life skills that will help them be functional adults; providing education assistance (Tutoring, GED preparation, college enrollment, vocational training); providing job skills (Career guest speaker, resume building, interviewing skills); connecting youth to potential employers; breaking the pattern of delinquency; building confidence; hosting pro-social activities (i.e. college tours, job fairs, seasonal celebrations); and giving an alternative sanction to address violations of probation in lieu of Court. There is one DPO assigned to the program who focuses on completing the above noted goals. When the program is not open, the DPO coordinates and participates in pro-social activities and assists youth with a variety of other needed items.    
Youth who participate in KEYS may also receive services through the Specialized Training &amp; Employment Project for Success for Youth (STEPS-Y) program.  STEPS-Y prepares youth for re-entry into the local workforce by offering them job search and job skills training, resume building, networking recognition and skills, supportive services, and other life skills.  These services may also be continued with youth in the Juvenile Facilities. 
Between 7/1/19 and 03/1/20, 95 youth participated and benefited from the KEYS Program.                        Due to COVID-19, in March 2020, the KEYS program was closed in compliance with the State and County orders.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</si>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</sst>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sz val="10"/>
      <color rgb="FFC00000"/>
      <name val="Arial"/>
      <family val="2"/>
    </font>
    <font>
      <sz val="10"/>
      <color rgb="FF000000"/>
      <name val="Arial"/>
      <family val="2"/>
    </font>
    <font>
      <sz val="10"/>
      <color rgb="FF000000"/>
      <name val="Arial"/>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rgb="FF99FF99"/>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alignment vertical="top"/>
      <protection locked="0"/>
    </xf>
  </cellStyleXfs>
  <cellXfs count="679">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14" fillId="3" borderId="2" xfId="0" applyFont="1" applyFill="1" applyBorder="1"/>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4"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6"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1"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0"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4" fillId="0" borderId="0" xfId="0" applyFont="1" applyProtection="1"/>
    <xf numFmtId="0" fontId="24"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8" fillId="0" borderId="0" xfId="0" applyFont="1" applyFill="1" applyAlignment="1" applyProtection="1">
      <alignment vertical="center"/>
    </xf>
    <xf numFmtId="0" fontId="20"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0"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43" fontId="0" fillId="0" borderId="0" xfId="0" applyNumberFormat="1" applyFill="1" applyBorder="1" applyAlignment="1" applyProtection="1"/>
    <xf numFmtId="0" fontId="18" fillId="0" borderId="0" xfId="0" applyFont="1" applyFill="1" applyAlignment="1" applyProtection="1">
      <alignment horizontal="left" vertical="center" indent="2"/>
    </xf>
    <xf numFmtId="0" fontId="25" fillId="0" borderId="0" xfId="0" applyFont="1" applyFill="1" applyProtection="1"/>
    <xf numFmtId="0" fontId="25" fillId="0" borderId="0" xfId="0" applyFont="1" applyFill="1"/>
    <xf numFmtId="41" fontId="24" fillId="0" borderId="0" xfId="0" applyNumberFormat="1" applyFont="1" applyFill="1" applyBorder="1" applyAlignment="1" applyProtection="1"/>
    <xf numFmtId="0" fontId="22" fillId="0" borderId="0" xfId="0" applyFont="1" applyFill="1" applyBorder="1" applyProtection="1"/>
    <xf numFmtId="0" fontId="19"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19"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6" fillId="0" borderId="0" xfId="0" applyFont="1" applyFill="1" applyBorder="1" applyAlignment="1" applyProtection="1">
      <alignment horizontal="left" indent="1"/>
    </xf>
    <xf numFmtId="0" fontId="25" fillId="0" borderId="0" xfId="0" applyFont="1" applyFill="1" applyAlignment="1" applyProtection="1">
      <alignment horizontal="left"/>
    </xf>
    <xf numFmtId="0" fontId="0" fillId="0" borderId="0" xfId="0" applyFill="1" applyBorder="1"/>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6" fillId="0" borderId="0" xfId="0" applyFont="1" applyFill="1" applyBorder="1" applyAlignment="1" applyProtection="1"/>
    <xf numFmtId="0" fontId="24" fillId="0" borderId="0" xfId="0" applyFont="1" applyFill="1" applyBorder="1" applyAlignment="1" applyProtection="1">
      <alignment horizontal="left" indent="2"/>
    </xf>
    <xf numFmtId="0" fontId="23" fillId="0" borderId="0" xfId="0" applyFont="1" applyFill="1" applyBorder="1" applyAlignment="1" applyProtection="1">
      <alignment horizontal="right" vertical="top" indent="2"/>
    </xf>
    <xf numFmtId="43" fontId="23"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19" fillId="0" borderId="0" xfId="0" applyFont="1" applyFill="1" applyBorder="1" applyAlignment="1" applyProtection="1">
      <alignment horizontal="right" indent="2"/>
    </xf>
    <xf numFmtId="0" fontId="0" fillId="0" borderId="5" xfId="0" applyBorder="1" applyAlignment="1" applyProtection="1">
      <alignment vertical="center"/>
    </xf>
    <xf numFmtId="0" fontId="30"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9" fillId="0" borderId="0" xfId="0" applyFont="1" applyFill="1"/>
    <xf numFmtId="0" fontId="4" fillId="8" borderId="6" xfId="0" applyFont="1" applyFill="1" applyBorder="1" applyAlignment="1">
      <alignment horizontal="center" vertical="center"/>
    </xf>
    <xf numFmtId="0" fontId="26"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41" fontId="24"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4" fillId="0" borderId="4" xfId="0" applyNumberFormat="1" applyFont="1" applyFill="1" applyBorder="1" applyAlignment="1" applyProtection="1"/>
    <xf numFmtId="0" fontId="28"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29"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5" xfId="0" applyFont="1" applyBorder="1" applyProtection="1"/>
    <xf numFmtId="0" fontId="1" fillId="0" borderId="0" xfId="0" applyFont="1" applyBorder="1" applyProtection="1"/>
    <xf numFmtId="41" fontId="1" fillId="0" borderId="0" xfId="0" applyNumberFormat="1" applyFont="1" applyFill="1" applyBorder="1" applyAlignment="1" applyProtection="1"/>
    <xf numFmtId="41" fontId="1" fillId="0" borderId="4" xfId="0" applyNumberFormat="1" applyFont="1" applyFill="1" applyBorder="1" applyAlignment="1" applyProtection="1"/>
    <xf numFmtId="0" fontId="1" fillId="0" borderId="0" xfId="0" applyFont="1" applyProtection="1"/>
    <xf numFmtId="0" fontId="1" fillId="0" borderId="5" xfId="0" applyFont="1" applyFill="1" applyBorder="1" applyProtection="1"/>
    <xf numFmtId="0" fontId="1" fillId="0" borderId="0" xfId="0" applyFont="1" applyBorder="1" applyAlignment="1" applyProtection="1">
      <alignment vertical="top" wrapText="1"/>
    </xf>
    <xf numFmtId="0" fontId="1" fillId="3" borderId="1" xfId="0" applyFont="1" applyFill="1" applyBorder="1"/>
    <xf numFmtId="0" fontId="1" fillId="3" borderId="5" xfId="0" applyFont="1" applyFill="1" applyBorder="1"/>
    <xf numFmtId="0" fontId="44" fillId="0" borderId="0" xfId="0" applyFont="1" applyProtection="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1" fillId="0" borderId="0" xfId="0" applyFont="1" applyFill="1" applyBorder="1" applyAlignment="1" applyProtection="1">
      <alignment horizontal="left"/>
    </xf>
    <xf numFmtId="0" fontId="30" fillId="0" borderId="0" xfId="0" applyFont="1" applyBorder="1" applyAlignment="1" applyProtection="1">
      <alignment horizontal="left" vertical="top" indent="1"/>
    </xf>
    <xf numFmtId="0" fontId="25" fillId="0" borderId="0" xfId="0" applyFont="1" applyFill="1" applyAlignment="1" applyProtection="1">
      <alignment horizontal="left" vertical="center"/>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horizontal="left" vertical="top" wrapText="1"/>
      <protection locked="0"/>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1" fillId="0" borderId="8" xfId="0" applyNumberFormat="1" applyFont="1" applyFill="1" applyBorder="1" applyAlignment="1" applyProtection="1">
      <alignment horizontal="left" vertical="center"/>
      <protection locked="0"/>
    </xf>
    <xf numFmtId="14" fontId="1"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2" fillId="12" borderId="10" xfId="0" applyFont="1" applyFill="1" applyBorder="1" applyAlignment="1" applyProtection="1">
      <alignment horizontal="left" vertical="center"/>
    </xf>
    <xf numFmtId="0" fontId="2" fillId="12" borderId="8" xfId="0" applyFont="1" applyFill="1" applyBorder="1" applyAlignment="1" applyProtection="1">
      <alignment horizontal="left" vertical="center"/>
    </xf>
    <xf numFmtId="0" fontId="2"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1"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1"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7" fillId="0" borderId="0"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wrapText="1"/>
    </xf>
    <xf numFmtId="0" fontId="28" fillId="0" borderId="0" xfId="0" applyFont="1" applyBorder="1" applyAlignment="1" applyProtection="1">
      <alignment horizontal="left" vertical="top" indent="1"/>
    </xf>
    <xf numFmtId="0" fontId="32" fillId="13" borderId="5" xfId="0" applyFont="1" applyFill="1" applyBorder="1" applyAlignment="1" applyProtection="1">
      <alignment horizontal="center" vertical="center" wrapText="1"/>
    </xf>
    <xf numFmtId="0" fontId="32" fillId="13" borderId="0" xfId="0" applyFont="1" applyFill="1" applyBorder="1" applyAlignment="1" applyProtection="1">
      <alignment horizontal="center" vertical="center" wrapText="1"/>
    </xf>
    <xf numFmtId="0" fontId="32" fillId="13" borderId="4" xfId="0" applyFont="1" applyFill="1" applyBorder="1" applyAlignment="1" applyProtection="1">
      <alignment horizontal="center" vertical="center" wrapText="1"/>
    </xf>
    <xf numFmtId="0" fontId="24"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4"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19" fillId="10" borderId="6" xfId="0" applyFont="1" applyFill="1" applyBorder="1" applyAlignment="1" applyProtection="1">
      <alignment horizontal="right" indent="2"/>
    </xf>
    <xf numFmtId="0" fontId="30" fillId="0" borderId="0" xfId="0" applyFont="1" applyBorder="1" applyAlignment="1" applyProtection="1">
      <alignment horizontal="left" vertical="top" indent="1"/>
    </xf>
    <xf numFmtId="0" fontId="24" fillId="9" borderId="8" xfId="0" applyFont="1" applyFill="1" applyBorder="1" applyAlignment="1" applyProtection="1">
      <alignment horizontal="left" indent="2"/>
    </xf>
    <xf numFmtId="0" fontId="24" fillId="9" borderId="9" xfId="0" applyFont="1" applyFill="1" applyBorder="1" applyAlignment="1" applyProtection="1">
      <alignment horizontal="left" indent="2"/>
    </xf>
    <xf numFmtId="0" fontId="24"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0" xfId="0" applyFont="1" applyFill="1" applyAlignment="1" applyProtection="1">
      <alignment horizontal="right"/>
    </xf>
    <xf numFmtId="0" fontId="25"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1" fillId="10" borderId="10" xfId="0" applyFont="1" applyFill="1" applyBorder="1" applyAlignment="1" applyProtection="1">
      <alignment horizontal="right" indent="2"/>
    </xf>
    <xf numFmtId="0" fontId="31" fillId="10" borderId="8" xfId="0" applyFont="1" applyFill="1" applyBorder="1" applyAlignment="1" applyProtection="1">
      <alignment horizontal="right" indent="2"/>
    </xf>
    <xf numFmtId="0" fontId="31" fillId="10" borderId="9" xfId="0" applyFont="1" applyFill="1" applyBorder="1" applyAlignment="1" applyProtection="1">
      <alignment horizontal="right" indent="2"/>
    </xf>
    <xf numFmtId="0" fontId="30" fillId="0" borderId="0" xfId="0" applyFont="1" applyBorder="1" applyAlignment="1" applyProtection="1">
      <alignment horizontal="left"/>
    </xf>
    <xf numFmtId="0" fontId="3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0"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22" fillId="0" borderId="10" xfId="0" applyFont="1" applyBorder="1" applyAlignment="1" applyProtection="1">
      <alignment horizontal="left" vertical="top" indent="2"/>
    </xf>
    <xf numFmtId="0" fontId="22" fillId="0" borderId="8" xfId="0" applyFont="1" applyBorder="1" applyAlignment="1" applyProtection="1">
      <alignment horizontal="left" vertical="top" indent="2"/>
    </xf>
    <xf numFmtId="0" fontId="22" fillId="0" borderId="9" xfId="0" applyFont="1" applyBorder="1" applyAlignment="1" applyProtection="1">
      <alignment horizontal="left" vertical="top" indent="2"/>
    </xf>
    <xf numFmtId="0" fontId="23" fillId="10" borderId="10" xfId="0" applyFont="1" applyFill="1" applyBorder="1" applyAlignment="1" applyProtection="1">
      <alignment horizontal="right" vertical="top" indent="2"/>
    </xf>
    <xf numFmtId="0" fontId="23" fillId="10" borderId="8" xfId="0" applyFont="1" applyFill="1" applyBorder="1" applyAlignment="1" applyProtection="1">
      <alignment horizontal="right" vertical="top" indent="2"/>
    </xf>
    <xf numFmtId="0" fontId="23" fillId="10" borderId="9" xfId="0" applyFont="1" applyFill="1" applyBorder="1" applyAlignment="1" applyProtection="1">
      <alignment horizontal="right" vertical="top" indent="2"/>
    </xf>
    <xf numFmtId="41" fontId="22" fillId="9" borderId="10" xfId="0" applyNumberFormat="1" applyFont="1" applyFill="1" applyBorder="1" applyAlignment="1" applyProtection="1">
      <alignment horizontal="center" vertical="top"/>
      <protection locked="0"/>
    </xf>
    <xf numFmtId="41" fontId="22" fillId="9" borderId="9" xfId="0" applyNumberFormat="1" applyFont="1" applyFill="1" applyBorder="1" applyAlignment="1" applyProtection="1">
      <alignment horizontal="center" vertical="top"/>
      <protection locked="0"/>
    </xf>
    <xf numFmtId="41" fontId="22" fillId="0" borderId="10" xfId="0" applyNumberFormat="1" applyFont="1" applyBorder="1" applyAlignment="1" applyProtection="1">
      <alignment horizontal="center" vertical="top"/>
      <protection locked="0"/>
    </xf>
    <xf numFmtId="41" fontId="22" fillId="0" borderId="9" xfId="0" applyNumberFormat="1" applyFont="1" applyBorder="1" applyAlignment="1" applyProtection="1">
      <alignment horizontal="center" vertical="top"/>
      <protection locked="0"/>
    </xf>
    <xf numFmtId="41" fontId="23" fillId="10" borderId="10" xfId="0" applyNumberFormat="1" applyFont="1" applyFill="1" applyBorder="1" applyAlignment="1" applyProtection="1">
      <alignment horizontal="center" vertical="center"/>
    </xf>
    <xf numFmtId="41" fontId="23" fillId="10" borderId="9" xfId="0" applyNumberFormat="1" applyFont="1" applyFill="1" applyBorder="1" applyAlignment="1" applyProtection="1">
      <alignment horizontal="center" vertical="center"/>
    </xf>
    <xf numFmtId="0" fontId="22" fillId="9" borderId="10" xfId="0" applyFont="1" applyFill="1" applyBorder="1" applyAlignment="1" applyProtection="1">
      <alignment horizontal="left" vertical="top" indent="2"/>
    </xf>
    <xf numFmtId="0" fontId="22" fillId="9" borderId="8" xfId="0" applyFont="1" applyFill="1" applyBorder="1" applyAlignment="1" applyProtection="1">
      <alignment horizontal="left" vertical="top" indent="2"/>
    </xf>
    <xf numFmtId="0" fontId="22"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xf>
    <xf numFmtId="0" fontId="33" fillId="13" borderId="2" xfId="0" applyFont="1" applyFill="1" applyBorder="1" applyAlignment="1" applyProtection="1">
      <alignment horizontal="center" vertical="center"/>
    </xf>
    <xf numFmtId="0" fontId="33" fillId="13" borderId="3" xfId="0" applyFont="1" applyFill="1" applyBorder="1" applyAlignment="1" applyProtection="1">
      <alignment horizontal="center" vertical="center"/>
    </xf>
    <xf numFmtId="0" fontId="26" fillId="7" borderId="8" xfId="0" applyFont="1" applyFill="1" applyBorder="1" applyAlignment="1" applyProtection="1">
      <alignment horizontal="center"/>
    </xf>
    <xf numFmtId="0" fontId="26"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8" fillId="0" borderId="0" xfId="0" applyFont="1" applyFill="1" applyBorder="1" applyAlignment="1" applyProtection="1">
      <alignment horizontal="left" vertical="top"/>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0" fontId="1" fillId="9" borderId="6" xfId="0" applyFont="1" applyFill="1" applyBorder="1" applyAlignment="1" applyProtection="1">
      <alignment horizontal="left" vertical="center" indent="2"/>
    </xf>
    <xf numFmtId="0" fontId="23" fillId="10" borderId="6" xfId="0" applyFont="1" applyFill="1" applyBorder="1" applyAlignment="1" applyProtection="1">
      <alignment horizontal="right" vertical="center" indent="2"/>
    </xf>
    <xf numFmtId="0" fontId="30" fillId="0" borderId="0" xfId="0" applyFont="1" applyFill="1" applyBorder="1" applyAlignment="1" applyProtection="1">
      <alignment horizontal="left" vertical="top"/>
    </xf>
    <xf numFmtId="0" fontId="1" fillId="0" borderId="10" xfId="0" applyFont="1" applyFill="1" applyBorder="1" applyAlignment="1" applyProtection="1">
      <alignment horizontal="left" vertical="center" indent="2"/>
    </xf>
    <xf numFmtId="0" fontId="1" fillId="0" borderId="8" xfId="0" applyFont="1" applyFill="1" applyBorder="1" applyAlignment="1" applyProtection="1">
      <alignment horizontal="left" vertical="center" indent="2"/>
    </xf>
    <xf numFmtId="0" fontId="23" fillId="10" borderId="10" xfId="0" applyFont="1" applyFill="1" applyBorder="1" applyAlignment="1" applyProtection="1">
      <alignment horizontal="right" vertical="center" indent="2"/>
    </xf>
    <xf numFmtId="0" fontId="23"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3" fillId="13" borderId="5" xfId="0" applyFont="1" applyFill="1" applyBorder="1" applyAlignment="1" applyProtection="1">
      <alignment horizontal="center" vertical="center"/>
    </xf>
    <xf numFmtId="0" fontId="33" fillId="13" borderId="0" xfId="0" applyFont="1" applyFill="1" applyBorder="1" applyAlignment="1" applyProtection="1">
      <alignment horizontal="center" vertical="center"/>
    </xf>
    <xf numFmtId="0" fontId="33"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49" fontId="24" fillId="9" borderId="6" xfId="0" applyNumberFormat="1" applyFont="1" applyFill="1" applyBorder="1" applyAlignment="1" applyProtection="1">
      <alignment horizontal="left" vertical="top" indent="2"/>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0" fillId="0" borderId="0" xfId="0" applyFont="1" applyBorder="1" applyAlignment="1" applyProtection="1">
      <alignment horizontal="left" indent="1"/>
    </xf>
    <xf numFmtId="0" fontId="30" fillId="0" borderId="4" xfId="0" applyFont="1" applyBorder="1" applyAlignment="1" applyProtection="1">
      <alignment horizontal="left" indent="1"/>
    </xf>
    <xf numFmtId="49" fontId="24" fillId="0" borderId="6" xfId="0" applyNumberFormat="1" applyFont="1" applyBorder="1" applyAlignment="1" applyProtection="1">
      <alignment horizontal="left" vertical="top" indent="2"/>
    </xf>
    <xf numFmtId="0" fontId="34"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1" fillId="12" borderId="2" xfId="0" applyFont="1" applyFill="1" applyBorder="1" applyAlignment="1" applyProtection="1">
      <alignment horizontal="justify" vertical="center" wrapText="1"/>
    </xf>
    <xf numFmtId="0" fontId="1" fillId="12" borderId="3"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wrapText="1"/>
    </xf>
    <xf numFmtId="0" fontId="1" fillId="12" borderId="0" xfId="0" applyFont="1" applyFill="1" applyBorder="1" applyAlignment="1" applyProtection="1">
      <alignment horizontal="justify" vertical="center" wrapText="1"/>
    </xf>
    <xf numFmtId="0" fontId="1" fillId="12" borderId="4" xfId="0" applyFont="1" applyFill="1" applyBorder="1" applyAlignment="1" applyProtection="1">
      <alignment horizontal="justify" vertical="center" wrapText="1"/>
    </xf>
    <xf numFmtId="0" fontId="1" fillId="12" borderId="12" xfId="0" applyFont="1" applyFill="1" applyBorder="1" applyAlignment="1" applyProtection="1">
      <alignment horizontal="justify" vertical="center" wrapText="1"/>
    </xf>
    <xf numFmtId="0" fontId="1" fillId="12" borderId="13" xfId="0" applyFont="1" applyFill="1" applyBorder="1" applyAlignment="1" applyProtection="1">
      <alignment horizontal="justify" vertical="center" wrapText="1"/>
    </xf>
    <xf numFmtId="0" fontId="1"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0" xfId="0" applyNumberFormat="1" applyFont="1" applyFill="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1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21" xfId="0" applyFont="1" applyFill="1" applyBorder="1" applyAlignment="1">
      <alignment horizontal="center" wrapText="1"/>
    </xf>
    <xf numFmtId="0" fontId="44" fillId="0" borderId="1" xfId="0" applyFont="1" applyBorder="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3"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0" fontId="1" fillId="0" borderId="2"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6" fontId="1" fillId="0" borderId="10" xfId="0" applyNumberFormat="1" applyFont="1" applyFill="1" applyBorder="1" applyAlignment="1"/>
    <xf numFmtId="0" fontId="1" fillId="0" borderId="9" xfId="0" applyFont="1" applyFill="1" applyBorder="1" applyAlignment="1"/>
    <xf numFmtId="0" fontId="1" fillId="14" borderId="10" xfId="0" applyFont="1" applyFill="1" applyBorder="1" applyAlignment="1"/>
    <xf numFmtId="0" fontId="1" fillId="14" borderId="9" xfId="0" applyFont="1" applyFill="1" applyBorder="1" applyAlignment="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2" fillId="5" borderId="2" xfId="0" applyFont="1" applyFill="1" applyBorder="1" applyAlignment="1" applyProtection="1">
      <alignment horizontal="left"/>
    </xf>
    <xf numFmtId="0" fontId="12" fillId="5" borderId="3" xfId="0" applyFont="1" applyFill="1" applyBorder="1" applyAlignment="1" applyProtection="1">
      <alignment horizontal="left"/>
    </xf>
    <xf numFmtId="0" fontId="1" fillId="12" borderId="2" xfId="0" applyFont="1" applyFill="1" applyBorder="1" applyAlignment="1" applyProtection="1">
      <alignment wrapText="1"/>
    </xf>
    <xf numFmtId="0" fontId="1" fillId="0" borderId="12" xfId="0" applyNumberFormat="1" applyFont="1" applyFill="1" applyBorder="1" applyAlignment="1" applyProtection="1">
      <alignment horizontal="center"/>
      <protection locked="0"/>
    </xf>
    <xf numFmtId="0" fontId="1" fillId="0" borderId="13" xfId="0" applyNumberFormat="1" applyFont="1" applyFill="1" applyBorder="1" applyAlignment="1" applyProtection="1">
      <alignment horizontal="center"/>
      <protection locked="0"/>
    </xf>
    <xf numFmtId="0" fontId="1" fillId="0" borderId="14" xfId="0" applyNumberFormat="1" applyFont="1" applyFill="1" applyBorder="1" applyAlignment="1" applyProtection="1">
      <alignment horizontal="center"/>
      <protection locked="0"/>
    </xf>
    <xf numFmtId="0" fontId="1" fillId="0" borderId="23" xfId="0" applyFont="1" applyFill="1" applyBorder="1" applyAlignment="1">
      <alignment horizont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1" fillId="0" borderId="26" xfId="0" applyFont="1" applyFill="1" applyBorder="1" applyAlignment="1">
      <alignment horizont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6" fontId="1" fillId="14" borderId="10" xfId="0" applyNumberFormat="1" applyFont="1" applyFill="1" applyBorder="1" applyAlignment="1"/>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Font="1" applyFill="1" applyBorder="1" applyAlignment="1"/>
    <xf numFmtId="0" fontId="1"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12" borderId="3" xfId="0" applyFont="1" applyFill="1" applyBorder="1" applyAlignment="1" applyProtection="1">
      <alignment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7" fillId="12" borderId="15" xfId="0" applyFont="1" applyFill="1" applyBorder="1" applyAlignment="1" applyProtection="1">
      <alignment horizontal="center" vertical="center"/>
    </xf>
    <xf numFmtId="0" fontId="17" fillId="12" borderId="16" xfId="0" applyFont="1" applyFill="1" applyBorder="1" applyAlignment="1" applyProtection="1">
      <alignment horizontal="center" vertical="center"/>
    </xf>
    <xf numFmtId="0" fontId="17"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0" fillId="0" borderId="0" xfId="0" applyFont="1" applyAlignment="1" applyProtection="1">
      <alignment horizontal="center"/>
    </xf>
    <xf numFmtId="0" fontId="30"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6" fillId="7" borderId="8" xfId="0" applyFont="1" applyFill="1" applyBorder="1" applyAlignment="1" applyProtection="1">
      <alignment horizontal="left"/>
    </xf>
    <xf numFmtId="0" fontId="26"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8" fillId="0" borderId="0" xfId="0" applyFont="1" applyAlignment="1">
      <alignment horizontal="center"/>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1"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220980</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72390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34290</xdr:colOff>
      <xdr:row>229</xdr:row>
      <xdr:rowOff>110490</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72390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34290</xdr:colOff>
      <xdr:row>229</xdr:row>
      <xdr:rowOff>110490</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72390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270510</xdr:colOff>
      <xdr:row>229</xdr:row>
      <xdr:rowOff>110490</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72390</xdr:colOff>
      <xdr:row>178</xdr:row>
      <xdr:rowOff>110490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34290</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72390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34290</xdr:colOff>
      <xdr:row>176</xdr:row>
      <xdr:rowOff>110490</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519</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521</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520</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577</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579</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578</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635</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637</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636</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693</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695</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694</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751</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753</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752</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809</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811</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811</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810</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867</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869</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869</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868</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rie.vredenburgh@ventura.org" TargetMode="External"/><Relationship Id="rId1" Type="http://schemas.openxmlformats.org/officeDocument/2006/relationships/hyperlink" Target="mailto:sandra.carrillo@ventur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8" activePane="bottomLeft" state="frozen"/>
      <selection pane="bottomLeft" activeCell="F32" sqref="F32:J32"/>
    </sheetView>
  </sheetViews>
  <sheetFormatPr defaultRowHeight="13.2" x14ac:dyDescent="0.25"/>
  <cols>
    <col min="1" max="1" width="9.88671875" style="33" customWidth="1"/>
    <col min="2" max="2" width="9.109375" style="33"/>
    <col min="3" max="3" width="6" style="33" customWidth="1"/>
    <col min="4" max="10" width="10.33203125" style="33" customWidth="1"/>
  </cols>
  <sheetData>
    <row r="1" spans="1:10" s="4" customFormat="1" ht="2.1" customHeight="1" x14ac:dyDescent="0.25">
      <c r="A1" s="54"/>
      <c r="B1" s="55"/>
      <c r="C1" s="55"/>
      <c r="D1" s="55"/>
      <c r="E1" s="55"/>
      <c r="F1" s="55"/>
      <c r="G1" s="55"/>
      <c r="H1" s="55"/>
      <c r="I1" s="55"/>
      <c r="J1" s="56"/>
    </row>
    <row r="2" spans="1:10" ht="8.1" customHeight="1" x14ac:dyDescent="0.25">
      <c r="A2" s="226"/>
      <c r="B2" s="227"/>
      <c r="C2" s="97"/>
      <c r="D2" s="79"/>
      <c r="E2" s="79"/>
      <c r="F2" s="79"/>
      <c r="G2" s="79"/>
      <c r="H2" s="79"/>
      <c r="I2" s="79"/>
      <c r="J2" s="80"/>
    </row>
    <row r="3" spans="1:10" ht="15" customHeight="1" x14ac:dyDescent="0.25">
      <c r="A3" s="228"/>
      <c r="B3" s="229"/>
      <c r="C3" s="98"/>
      <c r="D3" s="100" t="s">
        <v>0</v>
      </c>
      <c r="E3" s="81"/>
      <c r="F3" s="81"/>
      <c r="G3" s="81"/>
      <c r="H3" s="81"/>
      <c r="I3" s="81"/>
      <c r="J3" s="82"/>
    </row>
    <row r="4" spans="1:10" ht="15" customHeight="1" x14ac:dyDescent="0.25">
      <c r="A4" s="228"/>
      <c r="B4" s="229"/>
      <c r="C4" s="98"/>
      <c r="D4" s="100" t="s">
        <v>1</v>
      </c>
      <c r="E4" s="81"/>
      <c r="F4" s="81"/>
      <c r="G4" s="81"/>
      <c r="H4" s="81"/>
      <c r="I4" s="81"/>
      <c r="J4" s="82"/>
    </row>
    <row r="5" spans="1:10" ht="15" customHeight="1" x14ac:dyDescent="0.25">
      <c r="A5" s="228"/>
      <c r="B5" s="229"/>
      <c r="C5" s="98"/>
      <c r="D5" s="100" t="s">
        <v>2</v>
      </c>
      <c r="E5" s="57"/>
      <c r="F5" s="57"/>
      <c r="G5" s="57"/>
      <c r="H5" s="57"/>
      <c r="I5" s="57"/>
      <c r="J5" s="58"/>
    </row>
    <row r="6" spans="1:10" ht="8.1" customHeight="1" x14ac:dyDescent="0.25">
      <c r="A6" s="230"/>
      <c r="B6" s="231"/>
      <c r="C6" s="99"/>
      <c r="D6" s="59"/>
      <c r="E6" s="59"/>
      <c r="F6" s="59"/>
      <c r="G6" s="59"/>
      <c r="H6" s="59"/>
      <c r="I6" s="59"/>
      <c r="J6" s="60"/>
    </row>
    <row r="7" spans="1:10" s="1" customFormat="1" ht="6" customHeight="1" x14ac:dyDescent="0.25">
      <c r="A7" s="70"/>
      <c r="B7" s="76"/>
      <c r="C7" s="77"/>
      <c r="D7" s="77"/>
      <c r="E7" s="77"/>
      <c r="F7" s="77"/>
      <c r="G7" s="77"/>
      <c r="H7" s="77"/>
      <c r="I7" s="77"/>
      <c r="J7" s="78"/>
    </row>
    <row r="8" spans="1:10" ht="12.75" customHeight="1" x14ac:dyDescent="0.25">
      <c r="A8" s="250" t="s">
        <v>3</v>
      </c>
      <c r="B8" s="251"/>
      <c r="C8" s="251"/>
      <c r="D8" s="251"/>
      <c r="E8" s="251"/>
      <c r="F8" s="251"/>
      <c r="G8" s="251"/>
      <c r="H8" s="251"/>
      <c r="I8" s="251"/>
      <c r="J8" s="252"/>
    </row>
    <row r="9" spans="1:10" x14ac:dyDescent="0.25">
      <c r="A9" s="253"/>
      <c r="B9" s="251"/>
      <c r="C9" s="251"/>
      <c r="D9" s="251"/>
      <c r="E9" s="251"/>
      <c r="F9" s="251"/>
      <c r="G9" s="251"/>
      <c r="H9" s="251"/>
      <c r="I9" s="251"/>
      <c r="J9" s="252"/>
    </row>
    <row r="10" spans="1:10" x14ac:dyDescent="0.25">
      <c r="A10" s="253"/>
      <c r="B10" s="251"/>
      <c r="C10" s="251"/>
      <c r="D10" s="251"/>
      <c r="E10" s="251"/>
      <c r="F10" s="251"/>
      <c r="G10" s="251"/>
      <c r="H10" s="251"/>
      <c r="I10" s="251"/>
      <c r="J10" s="252"/>
    </row>
    <row r="11" spans="1:10" x14ac:dyDescent="0.25">
      <c r="A11" s="253"/>
      <c r="B11" s="251"/>
      <c r="C11" s="251"/>
      <c r="D11" s="251"/>
      <c r="E11" s="251"/>
      <c r="F11" s="251"/>
      <c r="G11" s="251"/>
      <c r="H11" s="251"/>
      <c r="I11" s="251"/>
      <c r="J11" s="252"/>
    </row>
    <row r="12" spans="1:10" x14ac:dyDescent="0.25">
      <c r="A12" s="253"/>
      <c r="B12" s="251"/>
      <c r="C12" s="251"/>
      <c r="D12" s="251"/>
      <c r="E12" s="251"/>
      <c r="F12" s="251"/>
      <c r="G12" s="251"/>
      <c r="H12" s="251"/>
      <c r="I12" s="251"/>
      <c r="J12" s="252"/>
    </row>
    <row r="13" spans="1:10" x14ac:dyDescent="0.25">
      <c r="A13" s="253"/>
      <c r="B13" s="251"/>
      <c r="C13" s="251"/>
      <c r="D13" s="251"/>
      <c r="E13" s="251"/>
      <c r="F13" s="251"/>
      <c r="G13" s="251"/>
      <c r="H13" s="251"/>
      <c r="I13" s="251"/>
      <c r="J13" s="252"/>
    </row>
    <row r="14" spans="1:10" x14ac:dyDescent="0.25">
      <c r="A14" s="253"/>
      <c r="B14" s="251"/>
      <c r="C14" s="251"/>
      <c r="D14" s="251"/>
      <c r="E14" s="251"/>
      <c r="F14" s="251"/>
      <c r="G14" s="251"/>
      <c r="H14" s="251"/>
      <c r="I14" s="251"/>
      <c r="J14" s="252"/>
    </row>
    <row r="15" spans="1:10" ht="6" customHeight="1" x14ac:dyDescent="0.25">
      <c r="A15" s="254"/>
      <c r="B15" s="255"/>
      <c r="C15" s="255"/>
      <c r="D15" s="255"/>
      <c r="E15" s="255"/>
      <c r="F15" s="255"/>
      <c r="G15" s="255"/>
      <c r="H15" s="255"/>
      <c r="I15" s="255"/>
      <c r="J15" s="256"/>
    </row>
    <row r="16" spans="1:10" ht="12.75" customHeight="1" x14ac:dyDescent="0.25">
      <c r="A16" s="257" t="s">
        <v>960</v>
      </c>
      <c r="B16" s="258"/>
      <c r="C16" s="258"/>
      <c r="D16" s="258"/>
      <c r="E16" s="258"/>
      <c r="F16" s="258"/>
      <c r="G16" s="258"/>
      <c r="H16" s="258"/>
      <c r="I16" s="258"/>
      <c r="J16" s="259"/>
    </row>
    <row r="17" spans="1:18" ht="12.75" customHeight="1" x14ac:dyDescent="0.25">
      <c r="A17" s="257"/>
      <c r="B17" s="258"/>
      <c r="C17" s="258"/>
      <c r="D17" s="258"/>
      <c r="E17" s="258"/>
      <c r="F17" s="258"/>
      <c r="G17" s="258"/>
      <c r="H17" s="258"/>
      <c r="I17" s="258"/>
      <c r="J17" s="259"/>
    </row>
    <row r="18" spans="1:18" ht="6" customHeight="1" x14ac:dyDescent="0.25">
      <c r="A18" s="107"/>
      <c r="B18" s="108"/>
      <c r="C18" s="108"/>
      <c r="D18" s="108"/>
      <c r="E18" s="108"/>
      <c r="F18" s="108"/>
      <c r="G18" s="108"/>
      <c r="H18" s="108"/>
      <c r="I18" s="108"/>
      <c r="J18" s="109"/>
    </row>
    <row r="19" spans="1:18" ht="12.75" customHeight="1" x14ac:dyDescent="0.25">
      <c r="A19" s="263" t="s">
        <v>4</v>
      </c>
      <c r="B19" s="264"/>
      <c r="C19" s="264"/>
      <c r="D19" s="264"/>
      <c r="E19" s="264"/>
      <c r="F19" s="264"/>
      <c r="G19" s="264"/>
      <c r="H19" s="264"/>
      <c r="I19" s="264"/>
      <c r="J19" s="265"/>
    </row>
    <row r="20" spans="1:18" ht="30" customHeight="1" x14ac:dyDescent="0.25">
      <c r="A20" s="266"/>
      <c r="B20" s="264"/>
      <c r="C20" s="264"/>
      <c r="D20" s="264"/>
      <c r="E20" s="264"/>
      <c r="F20" s="264"/>
      <c r="G20" s="264"/>
      <c r="H20" s="264"/>
      <c r="I20" s="264"/>
      <c r="J20" s="265"/>
    </row>
    <row r="21" spans="1:18" ht="4.95" customHeight="1" x14ac:dyDescent="0.25">
      <c r="A21" s="105"/>
      <c r="B21" s="68"/>
      <c r="C21" s="68"/>
      <c r="D21" s="68"/>
      <c r="E21" s="68"/>
      <c r="F21" s="68"/>
      <c r="G21" s="68"/>
      <c r="H21" s="68"/>
      <c r="I21" s="68"/>
      <c r="J21" s="104"/>
    </row>
    <row r="22" spans="1:18" ht="15" customHeight="1" x14ac:dyDescent="0.25">
      <c r="A22" s="61" t="s">
        <v>5</v>
      </c>
      <c r="B22" s="62"/>
      <c r="C22" s="62"/>
      <c r="D22" s="62"/>
      <c r="E22" s="62"/>
      <c r="F22" s="62"/>
      <c r="G22" s="62"/>
      <c r="H22" s="62"/>
      <c r="I22" s="62"/>
      <c r="J22" s="63"/>
      <c r="L22" s="1"/>
      <c r="N22" s="4"/>
      <c r="O22" s="4"/>
      <c r="P22" s="4"/>
      <c r="Q22" s="4"/>
      <c r="R22" s="4"/>
    </row>
    <row r="23" spans="1:18" s="1" customFormat="1" ht="15" customHeight="1" x14ac:dyDescent="0.25">
      <c r="A23" s="260" t="s">
        <v>6</v>
      </c>
      <c r="B23" s="261"/>
      <c r="C23" s="261"/>
      <c r="D23" s="261"/>
      <c r="E23" s="262"/>
      <c r="F23" s="260" t="s">
        <v>7</v>
      </c>
      <c r="G23" s="261"/>
      <c r="H23" s="261"/>
      <c r="I23" s="261"/>
      <c r="J23" s="262"/>
      <c r="N23" s="139"/>
      <c r="O23" s="139"/>
      <c r="P23" s="139"/>
      <c r="Q23" s="139"/>
      <c r="R23" s="139"/>
    </row>
    <row r="24" spans="1:18" s="101" customFormat="1" ht="18.75" customHeight="1" x14ac:dyDescent="0.25">
      <c r="A24" s="241" t="s">
        <v>8</v>
      </c>
      <c r="B24" s="242"/>
      <c r="C24" s="242"/>
      <c r="D24" s="242"/>
      <c r="E24" s="243"/>
      <c r="F24" s="244">
        <v>44124</v>
      </c>
      <c r="G24" s="245"/>
      <c r="H24" s="245"/>
      <c r="I24" s="245"/>
      <c r="J24" s="246"/>
      <c r="N24" s="164"/>
      <c r="O24" s="164"/>
      <c r="P24" s="164"/>
      <c r="Q24" s="164"/>
      <c r="R24" s="164"/>
    </row>
    <row r="25" spans="1:18" ht="15" customHeight="1" x14ac:dyDescent="0.25">
      <c r="A25" s="247" t="s">
        <v>9</v>
      </c>
      <c r="B25" s="248"/>
      <c r="C25" s="248"/>
      <c r="D25" s="248"/>
      <c r="E25" s="248"/>
      <c r="F25" s="248"/>
      <c r="G25" s="248"/>
      <c r="H25" s="248"/>
      <c r="I25" s="248"/>
      <c r="J25" s="249"/>
      <c r="N25" s="4"/>
      <c r="O25" s="4"/>
      <c r="P25" s="4"/>
      <c r="Q25" s="4"/>
      <c r="R25" s="4"/>
    </row>
    <row r="26" spans="1:18" ht="15" customHeight="1" x14ac:dyDescent="0.25">
      <c r="A26" s="267" t="s">
        <v>10</v>
      </c>
      <c r="B26" s="268"/>
      <c r="C26" s="268"/>
      <c r="D26" s="268"/>
      <c r="E26" s="269"/>
      <c r="F26" s="267" t="s">
        <v>11</v>
      </c>
      <c r="G26" s="268"/>
      <c r="H26" s="268"/>
      <c r="I26" s="268"/>
      <c r="J26" s="269"/>
      <c r="N26" s="4"/>
      <c r="O26" s="4"/>
      <c r="P26" s="4"/>
      <c r="Q26" s="4"/>
      <c r="R26" s="4"/>
    </row>
    <row r="27" spans="1:18" ht="15" customHeight="1" x14ac:dyDescent="0.25">
      <c r="A27" s="275" t="s">
        <v>12</v>
      </c>
      <c r="B27" s="276"/>
      <c r="C27" s="276"/>
      <c r="D27" s="276"/>
      <c r="E27" s="277"/>
      <c r="F27" s="275" t="s">
        <v>13</v>
      </c>
      <c r="G27" s="276"/>
      <c r="H27" s="276"/>
      <c r="I27" s="276"/>
      <c r="J27" s="277"/>
      <c r="N27" s="279"/>
      <c r="O27" s="279"/>
      <c r="P27" s="279"/>
      <c r="Q27" s="279"/>
      <c r="R27" s="279"/>
    </row>
    <row r="28" spans="1:18" ht="15" customHeight="1" x14ac:dyDescent="0.25">
      <c r="A28" s="270" t="s">
        <v>14</v>
      </c>
      <c r="B28" s="271"/>
      <c r="C28" s="272"/>
      <c r="D28" s="270" t="s">
        <v>15</v>
      </c>
      <c r="E28" s="271"/>
      <c r="F28" s="271"/>
      <c r="G28" s="271"/>
      <c r="H28" s="271"/>
      <c r="I28" s="271"/>
      <c r="J28" s="272"/>
      <c r="N28" s="4"/>
      <c r="O28" s="4"/>
      <c r="P28" s="4"/>
      <c r="Q28" s="4"/>
      <c r="R28" s="4"/>
    </row>
    <row r="29" spans="1:18" ht="15" customHeight="1" x14ac:dyDescent="0.25">
      <c r="A29" s="232" t="s">
        <v>16</v>
      </c>
      <c r="B29" s="233"/>
      <c r="C29" s="234"/>
      <c r="D29" s="278" t="s">
        <v>17</v>
      </c>
      <c r="E29" s="236"/>
      <c r="F29" s="236"/>
      <c r="G29" s="236"/>
      <c r="H29" s="236"/>
      <c r="I29" s="236"/>
      <c r="J29" s="237"/>
      <c r="N29" s="4"/>
      <c r="O29" s="4"/>
      <c r="P29" s="4"/>
      <c r="Q29" s="4"/>
      <c r="R29" s="4"/>
    </row>
    <row r="30" spans="1:18" ht="15" customHeight="1" x14ac:dyDescent="0.25">
      <c r="A30" s="273" t="s">
        <v>18</v>
      </c>
      <c r="B30" s="274"/>
      <c r="C30" s="274"/>
      <c r="D30" s="274"/>
      <c r="E30" s="274"/>
      <c r="F30" s="248"/>
      <c r="G30" s="248"/>
      <c r="H30" s="248"/>
      <c r="I30" s="248"/>
      <c r="J30" s="249"/>
      <c r="N30" s="4"/>
      <c r="O30" s="4"/>
      <c r="P30" s="4"/>
      <c r="Q30" s="4"/>
      <c r="R30" s="4"/>
    </row>
    <row r="31" spans="1:18" ht="15" customHeight="1" x14ac:dyDescent="0.25">
      <c r="A31" s="267" t="s">
        <v>10</v>
      </c>
      <c r="B31" s="268"/>
      <c r="C31" s="268"/>
      <c r="D31" s="268"/>
      <c r="E31" s="268"/>
      <c r="F31" s="267" t="s">
        <v>11</v>
      </c>
      <c r="G31" s="268"/>
      <c r="H31" s="268"/>
      <c r="I31" s="268"/>
      <c r="J31" s="269"/>
    </row>
    <row r="32" spans="1:18" ht="15" customHeight="1" x14ac:dyDescent="0.25">
      <c r="A32" s="238" t="s">
        <v>19</v>
      </c>
      <c r="B32" s="239"/>
      <c r="C32" s="239"/>
      <c r="D32" s="239"/>
      <c r="E32" s="239"/>
      <c r="F32" s="238" t="s">
        <v>13</v>
      </c>
      <c r="G32" s="239"/>
      <c r="H32" s="239"/>
      <c r="I32" s="239"/>
      <c r="J32" s="240"/>
    </row>
    <row r="33" spans="1:21" ht="15" customHeight="1" x14ac:dyDescent="0.25">
      <c r="A33" s="267" t="s">
        <v>14</v>
      </c>
      <c r="B33" s="268"/>
      <c r="C33" s="269"/>
      <c r="D33" s="268" t="s">
        <v>15</v>
      </c>
      <c r="E33" s="268"/>
      <c r="F33" s="268"/>
      <c r="G33" s="268"/>
      <c r="H33" s="268"/>
      <c r="I33" s="268"/>
      <c r="J33" s="269"/>
    </row>
    <row r="34" spans="1:21" ht="15" customHeight="1" x14ac:dyDescent="0.25">
      <c r="A34" s="232" t="s">
        <v>20</v>
      </c>
      <c r="B34" s="233"/>
      <c r="C34" s="234"/>
      <c r="D34" s="235" t="s">
        <v>21</v>
      </c>
      <c r="E34" s="236"/>
      <c r="F34" s="236"/>
      <c r="G34" s="236"/>
      <c r="H34" s="236"/>
      <c r="I34" s="236"/>
      <c r="J34" s="237"/>
    </row>
    <row r="35" spans="1:21" x14ac:dyDescent="0.25">
      <c r="A35" s="280" t="s">
        <v>22</v>
      </c>
      <c r="B35" s="281"/>
      <c r="C35" s="281"/>
      <c r="D35" s="248"/>
      <c r="E35" s="248"/>
      <c r="F35" s="248"/>
      <c r="G35" s="248"/>
      <c r="H35" s="248"/>
      <c r="I35" s="248"/>
      <c r="J35" s="249"/>
    </row>
    <row r="36" spans="1:21" s="1" customFormat="1" ht="6" customHeight="1" x14ac:dyDescent="0.25">
      <c r="A36" s="72"/>
      <c r="B36" s="73"/>
      <c r="C36" s="73"/>
      <c r="D36" s="74"/>
      <c r="E36" s="74"/>
      <c r="F36" s="74"/>
      <c r="G36" s="74"/>
      <c r="H36" s="74"/>
      <c r="I36" s="74"/>
      <c r="J36" s="75"/>
    </row>
    <row r="37" spans="1:21" ht="12.75" customHeight="1" x14ac:dyDescent="0.25">
      <c r="A37" s="263" t="s">
        <v>961</v>
      </c>
      <c r="B37" s="284"/>
      <c r="C37" s="284"/>
      <c r="D37" s="284"/>
      <c r="E37" s="284"/>
      <c r="F37" s="284"/>
      <c r="G37" s="284"/>
      <c r="H37" s="284"/>
      <c r="I37" s="284"/>
      <c r="J37" s="285"/>
    </row>
    <row r="38" spans="1:21" x14ac:dyDescent="0.25">
      <c r="A38" s="263"/>
      <c r="B38" s="284"/>
      <c r="C38" s="284"/>
      <c r="D38" s="284"/>
      <c r="E38" s="284"/>
      <c r="F38" s="284"/>
      <c r="G38" s="284"/>
      <c r="H38" s="284"/>
      <c r="I38" s="284"/>
      <c r="J38" s="285"/>
      <c r="L38" s="4"/>
      <c r="M38" s="4"/>
      <c r="N38" s="4"/>
      <c r="O38" s="4"/>
      <c r="P38" s="4"/>
      <c r="Q38" s="4"/>
      <c r="R38" s="4"/>
      <c r="S38" s="4"/>
      <c r="T38" s="4"/>
      <c r="U38" s="4"/>
    </row>
    <row r="39" spans="1:21" x14ac:dyDescent="0.25">
      <c r="A39" s="263"/>
      <c r="B39" s="284"/>
      <c r="C39" s="284"/>
      <c r="D39" s="284"/>
      <c r="E39" s="284"/>
      <c r="F39" s="284"/>
      <c r="G39" s="284"/>
      <c r="H39" s="284"/>
      <c r="I39" s="284"/>
      <c r="J39" s="285"/>
      <c r="L39" s="4"/>
      <c r="M39" s="4"/>
      <c r="N39" s="4"/>
      <c r="O39" s="4"/>
      <c r="P39" s="4"/>
      <c r="Q39" s="4"/>
      <c r="R39" s="4"/>
      <c r="S39" s="4"/>
      <c r="T39" s="4"/>
      <c r="U39" s="4"/>
    </row>
    <row r="40" spans="1:21" ht="6" customHeight="1" x14ac:dyDescent="0.25">
      <c r="A40" s="263"/>
      <c r="B40" s="284"/>
      <c r="C40" s="284"/>
      <c r="D40" s="284"/>
      <c r="E40" s="284"/>
      <c r="F40" s="284"/>
      <c r="G40" s="284"/>
      <c r="H40" s="284"/>
      <c r="I40" s="284"/>
      <c r="J40" s="285"/>
      <c r="L40" s="4"/>
      <c r="M40" s="4"/>
      <c r="N40" s="4"/>
      <c r="O40" s="4"/>
      <c r="P40" s="4"/>
      <c r="Q40" s="4"/>
      <c r="R40" s="4"/>
      <c r="S40" s="4"/>
      <c r="T40" s="4"/>
      <c r="U40" s="4"/>
    </row>
    <row r="41" spans="1:21" ht="22.2" customHeight="1" x14ac:dyDescent="0.25">
      <c r="A41" s="263"/>
      <c r="B41" s="284"/>
      <c r="C41" s="284"/>
      <c r="D41" s="284"/>
      <c r="E41" s="284"/>
      <c r="F41" s="284"/>
      <c r="G41" s="284"/>
      <c r="H41" s="284"/>
      <c r="I41" s="284"/>
      <c r="J41" s="285"/>
      <c r="L41" s="282"/>
      <c r="M41" s="282"/>
      <c r="N41" s="282"/>
      <c r="O41" s="282"/>
      <c r="P41" s="282"/>
      <c r="Q41" s="282"/>
      <c r="R41" s="282"/>
      <c r="S41" s="282"/>
      <c r="T41" s="282"/>
      <c r="U41" s="4"/>
    </row>
    <row r="42" spans="1:21" ht="12" customHeight="1" x14ac:dyDescent="0.25">
      <c r="A42" s="263"/>
      <c r="B42" s="284"/>
      <c r="C42" s="284"/>
      <c r="D42" s="284"/>
      <c r="E42" s="284"/>
      <c r="F42" s="284"/>
      <c r="G42" s="284"/>
      <c r="H42" s="284"/>
      <c r="I42" s="284"/>
      <c r="J42" s="285"/>
      <c r="L42" s="282"/>
      <c r="M42" s="282"/>
      <c r="N42" s="282"/>
      <c r="O42" s="282"/>
      <c r="P42" s="282"/>
      <c r="Q42" s="282"/>
      <c r="R42" s="282"/>
      <c r="S42" s="282"/>
      <c r="T42" s="282"/>
      <c r="U42" s="4"/>
    </row>
    <row r="43" spans="1:21" ht="12.75" customHeight="1" x14ac:dyDescent="0.25">
      <c r="A43" s="263"/>
      <c r="B43" s="284"/>
      <c r="C43" s="284"/>
      <c r="D43" s="284"/>
      <c r="E43" s="284"/>
      <c r="F43" s="284"/>
      <c r="G43" s="284"/>
      <c r="H43" s="284"/>
      <c r="I43" s="284"/>
      <c r="J43" s="285"/>
      <c r="L43" s="282"/>
      <c r="M43" s="282"/>
      <c r="N43" s="282"/>
      <c r="O43" s="282"/>
      <c r="P43" s="282"/>
      <c r="Q43" s="282"/>
      <c r="R43" s="282"/>
      <c r="S43" s="282"/>
      <c r="T43" s="282"/>
      <c r="U43" s="4"/>
    </row>
    <row r="44" spans="1:21" ht="12.75" customHeight="1" x14ac:dyDescent="0.25">
      <c r="A44" s="263"/>
      <c r="B44" s="284"/>
      <c r="C44" s="284"/>
      <c r="D44" s="284"/>
      <c r="E44" s="284"/>
      <c r="F44" s="284"/>
      <c r="G44" s="284"/>
      <c r="H44" s="284"/>
      <c r="I44" s="284"/>
      <c r="J44" s="285"/>
      <c r="L44" s="282"/>
      <c r="M44" s="282"/>
      <c r="N44" s="282"/>
      <c r="O44" s="282"/>
      <c r="P44" s="282"/>
      <c r="Q44" s="282"/>
      <c r="R44" s="282"/>
      <c r="S44" s="282"/>
      <c r="T44" s="282"/>
      <c r="U44" s="4"/>
    </row>
    <row r="45" spans="1:21" ht="6" customHeight="1" x14ac:dyDescent="0.25">
      <c r="A45" s="263"/>
      <c r="B45" s="284"/>
      <c r="C45" s="284"/>
      <c r="D45" s="284"/>
      <c r="E45" s="284"/>
      <c r="F45" s="284"/>
      <c r="G45" s="284"/>
      <c r="H45" s="284"/>
      <c r="I45" s="284"/>
      <c r="J45" s="285"/>
      <c r="L45" s="282"/>
      <c r="M45" s="282"/>
      <c r="N45" s="282"/>
      <c r="O45" s="282"/>
      <c r="P45" s="282"/>
      <c r="Q45" s="282"/>
      <c r="R45" s="282"/>
      <c r="S45" s="282"/>
      <c r="T45" s="282"/>
      <c r="U45" s="4"/>
    </row>
    <row r="46" spans="1:21" ht="12.75" customHeight="1" x14ac:dyDescent="0.25">
      <c r="A46" s="263"/>
      <c r="B46" s="284"/>
      <c r="C46" s="284"/>
      <c r="D46" s="284"/>
      <c r="E46" s="284"/>
      <c r="F46" s="284"/>
      <c r="G46" s="284"/>
      <c r="H46" s="284"/>
      <c r="I46" s="284"/>
      <c r="J46" s="285"/>
      <c r="L46" s="4"/>
      <c r="M46" s="4"/>
      <c r="N46" s="4"/>
      <c r="O46" s="4"/>
      <c r="P46" s="4"/>
      <c r="Q46" s="4"/>
      <c r="R46" s="4"/>
      <c r="S46" s="4"/>
      <c r="T46" s="4"/>
      <c r="U46" s="4"/>
    </row>
    <row r="47" spans="1:21" ht="12.75" customHeight="1" x14ac:dyDescent="0.25">
      <c r="A47" s="263"/>
      <c r="B47" s="284"/>
      <c r="C47" s="284"/>
      <c r="D47" s="284"/>
      <c r="E47" s="284"/>
      <c r="F47" s="284"/>
      <c r="G47" s="284"/>
      <c r="H47" s="284"/>
      <c r="I47" s="284"/>
      <c r="J47" s="285"/>
      <c r="L47" s="4"/>
      <c r="M47" s="4"/>
      <c r="N47" s="4"/>
      <c r="O47" s="4"/>
      <c r="P47" s="4"/>
      <c r="Q47" s="4"/>
      <c r="R47" s="4"/>
      <c r="S47" s="4"/>
      <c r="T47" s="4"/>
      <c r="U47" s="4"/>
    </row>
    <row r="48" spans="1:21" ht="12.75" customHeight="1" x14ac:dyDescent="0.25">
      <c r="A48" s="263"/>
      <c r="B48" s="284"/>
      <c r="C48" s="284"/>
      <c r="D48" s="284"/>
      <c r="E48" s="284"/>
      <c r="F48" s="284"/>
      <c r="G48" s="284"/>
      <c r="H48" s="284"/>
      <c r="I48" s="284"/>
      <c r="J48" s="285"/>
      <c r="L48" s="283"/>
      <c r="M48" s="283"/>
      <c r="N48" s="283"/>
      <c r="O48" s="283"/>
      <c r="P48" s="283"/>
      <c r="Q48" s="283"/>
      <c r="R48" s="283"/>
      <c r="S48" s="283"/>
      <c r="T48" s="283"/>
      <c r="U48" s="4"/>
    </row>
    <row r="49" spans="1:21" ht="12" customHeight="1" x14ac:dyDescent="0.25">
      <c r="A49" s="263"/>
      <c r="B49" s="284"/>
      <c r="C49" s="284"/>
      <c r="D49" s="284"/>
      <c r="E49" s="284"/>
      <c r="F49" s="284"/>
      <c r="G49" s="284"/>
      <c r="H49" s="284"/>
      <c r="I49" s="284"/>
      <c r="J49" s="285"/>
      <c r="L49" s="283"/>
      <c r="M49" s="283"/>
      <c r="N49" s="283"/>
      <c r="O49" s="283"/>
      <c r="P49" s="283"/>
      <c r="Q49" s="283"/>
      <c r="R49" s="283"/>
      <c r="S49" s="283"/>
      <c r="T49" s="283"/>
      <c r="U49" s="4"/>
    </row>
    <row r="50" spans="1:21" s="106" customFormat="1" ht="55.95" customHeight="1" x14ac:dyDescent="0.25">
      <c r="A50" s="263"/>
      <c r="B50" s="284"/>
      <c r="C50" s="284"/>
      <c r="D50" s="284"/>
      <c r="E50" s="284"/>
      <c r="F50" s="284"/>
      <c r="G50" s="284"/>
      <c r="H50" s="284"/>
      <c r="I50" s="284"/>
      <c r="J50" s="285"/>
      <c r="L50" s="283"/>
      <c r="M50" s="283"/>
      <c r="N50" s="283"/>
      <c r="O50" s="283"/>
      <c r="P50" s="283"/>
      <c r="Q50" s="283"/>
      <c r="R50" s="283"/>
      <c r="S50" s="283"/>
      <c r="T50" s="283"/>
      <c r="U50" s="182"/>
    </row>
    <row r="51" spans="1:21" ht="14.4" customHeight="1" x14ac:dyDescent="0.25">
      <c r="A51" s="110"/>
      <c r="B51" s="111"/>
      <c r="C51" s="111"/>
      <c r="D51" s="111"/>
      <c r="E51" s="111"/>
      <c r="F51" s="111"/>
      <c r="G51" s="111"/>
      <c r="H51" s="111"/>
      <c r="I51" s="111"/>
      <c r="J51" s="112"/>
    </row>
    <row r="52" spans="1:21" ht="12.75" customHeight="1" x14ac:dyDescent="0.25">
      <c r="A52" s="71"/>
      <c r="B52" s="71"/>
      <c r="C52" s="71"/>
      <c r="D52" s="71"/>
      <c r="E52" s="71"/>
      <c r="F52" s="71"/>
      <c r="G52" s="71"/>
      <c r="H52" s="71"/>
      <c r="I52" s="71"/>
      <c r="J52" s="71"/>
    </row>
    <row r="53" spans="1:21" ht="12.75" customHeight="1" x14ac:dyDescent="0.25">
      <c r="A53" s="64"/>
      <c r="B53" s="64"/>
      <c r="C53" s="64"/>
      <c r="D53" s="64"/>
      <c r="E53" s="64"/>
      <c r="F53" s="64"/>
      <c r="G53" s="64"/>
      <c r="H53" s="64"/>
      <c r="I53" s="64"/>
      <c r="J53" s="64"/>
    </row>
    <row r="60" spans="1:21" x14ac:dyDescent="0.25">
      <c r="H60" s="69"/>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34" r:id="rId1" xr:uid="{65863B2E-E651-44C9-B622-2CC41FD3EAF8}"/>
    <hyperlink ref="D29" r:id="rId2" xr:uid="{BDFB60ED-CB8D-4578-B90C-426E79B77B9A}"/>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1" activePane="bottomLeft" state="frozen"/>
      <selection pane="bottomLeft" activeCell="A32" sqref="A32:O43"/>
    </sheetView>
  </sheetViews>
  <sheetFormatPr defaultRowHeight="13.2" x14ac:dyDescent="0.25"/>
  <cols>
    <col min="1" max="1" width="3.6640625" style="33" customWidth="1"/>
    <col min="2" max="4" width="9.109375" style="33"/>
    <col min="5" max="5" width="6.44140625" style="33" customWidth="1"/>
    <col min="6" max="6" width="6.33203125" style="33" customWidth="1"/>
    <col min="7" max="14" width="5.6640625" style="33" customWidth="1"/>
    <col min="15" max="15" width="6.6640625" style="33" customWidth="1"/>
    <col min="16" max="24" width="8.88671875" style="33"/>
  </cols>
  <sheetData>
    <row r="1" spans="1:24" s="183" customFormat="1" ht="15.75" customHeight="1" x14ac:dyDescent="0.25">
      <c r="A1" s="288" t="s">
        <v>23</v>
      </c>
      <c r="B1" s="289"/>
      <c r="C1" s="289"/>
      <c r="D1" s="289"/>
      <c r="E1" s="289"/>
      <c r="F1" s="289"/>
      <c r="G1" s="289"/>
      <c r="H1" s="289"/>
      <c r="I1" s="289"/>
      <c r="J1" s="289"/>
      <c r="K1" s="286" t="str">
        <f>'CONTACT INFORMATION'!$A$24</f>
        <v>Ventura</v>
      </c>
      <c r="L1" s="286"/>
      <c r="M1" s="286"/>
      <c r="N1" s="286"/>
      <c r="O1" s="287"/>
      <c r="P1" s="185"/>
      <c r="Q1" s="185"/>
      <c r="R1" s="185"/>
      <c r="S1" s="185"/>
      <c r="T1" s="185"/>
      <c r="U1" s="185"/>
      <c r="V1" s="185"/>
      <c r="W1" s="185"/>
      <c r="X1" s="185"/>
    </row>
    <row r="2" spans="1:24" s="1" customFormat="1" ht="8.25" customHeight="1" x14ac:dyDescent="0.3">
      <c r="A2" s="136"/>
      <c r="B2" s="136"/>
      <c r="C2" s="136"/>
      <c r="D2" s="136"/>
      <c r="E2" s="136"/>
      <c r="F2" s="136"/>
      <c r="G2" s="136"/>
      <c r="H2" s="136"/>
      <c r="I2" s="136"/>
      <c r="J2" s="136"/>
      <c r="K2" s="137"/>
      <c r="L2" s="137"/>
      <c r="M2" s="137"/>
      <c r="N2" s="137"/>
      <c r="O2" s="137"/>
      <c r="P2" s="186"/>
      <c r="Q2" s="186"/>
      <c r="R2" s="186"/>
      <c r="S2" s="186"/>
      <c r="T2" s="186"/>
      <c r="U2" s="186"/>
      <c r="V2" s="186"/>
      <c r="W2" s="186"/>
      <c r="X2" s="186"/>
    </row>
    <row r="3" spans="1:24" s="1" customFormat="1" ht="15.75" customHeight="1" x14ac:dyDescent="0.25">
      <c r="A3" s="291" t="s">
        <v>24</v>
      </c>
      <c r="B3" s="292"/>
      <c r="C3" s="292"/>
      <c r="D3" s="292"/>
      <c r="E3" s="292"/>
      <c r="F3" s="292"/>
      <c r="G3" s="292"/>
      <c r="H3" s="292"/>
      <c r="I3" s="292"/>
      <c r="J3" s="292"/>
      <c r="K3" s="292"/>
      <c r="L3" s="292"/>
      <c r="M3" s="292"/>
      <c r="N3" s="292"/>
      <c r="O3" s="293"/>
      <c r="P3" s="186"/>
      <c r="Q3" s="186"/>
      <c r="R3" s="186"/>
      <c r="S3" s="186"/>
      <c r="T3" s="186"/>
      <c r="U3" s="186"/>
      <c r="V3" s="186"/>
      <c r="W3" s="186"/>
      <c r="X3" s="186"/>
    </row>
    <row r="4" spans="1:24" s="36" customFormat="1" ht="59.25" customHeight="1" x14ac:dyDescent="0.25">
      <c r="A4" s="295" t="s">
        <v>25</v>
      </c>
      <c r="B4" s="296"/>
      <c r="C4" s="296"/>
      <c r="D4" s="296"/>
      <c r="E4" s="296"/>
      <c r="F4" s="296"/>
      <c r="G4" s="296"/>
      <c r="H4" s="296"/>
      <c r="I4" s="296"/>
      <c r="J4" s="296"/>
      <c r="K4" s="296"/>
      <c r="L4" s="296"/>
      <c r="M4" s="296"/>
      <c r="N4" s="296"/>
      <c r="O4" s="297"/>
      <c r="P4" s="187"/>
      <c r="Q4" s="187"/>
      <c r="R4" s="187"/>
      <c r="S4" s="187"/>
      <c r="T4" s="187"/>
      <c r="U4" s="187"/>
      <c r="V4" s="187"/>
      <c r="W4" s="187"/>
      <c r="X4" s="187"/>
    </row>
    <row r="5" spans="1:24" s="38" customFormat="1" ht="12.75" customHeight="1" x14ac:dyDescent="0.25">
      <c r="A5" s="83"/>
      <c r="B5" s="65"/>
      <c r="C5" s="65"/>
      <c r="D5" s="65"/>
      <c r="E5" s="65"/>
      <c r="F5" s="65"/>
      <c r="G5" s="65"/>
      <c r="H5" s="65"/>
      <c r="I5" s="65"/>
      <c r="J5" s="65"/>
      <c r="K5" s="65"/>
      <c r="L5" s="65"/>
      <c r="M5" s="65"/>
      <c r="N5" s="65"/>
      <c r="O5" s="84"/>
      <c r="P5" s="188"/>
      <c r="Q5" s="188"/>
      <c r="R5" s="188"/>
      <c r="S5" s="188"/>
      <c r="T5" s="188"/>
      <c r="U5" s="188"/>
      <c r="V5" s="188"/>
      <c r="W5" s="188"/>
      <c r="X5" s="188"/>
    </row>
    <row r="6" spans="1:24" s="38" customFormat="1" ht="12.75" customHeight="1" x14ac:dyDescent="0.25">
      <c r="A6" s="83"/>
      <c r="B6" s="65"/>
      <c r="C6" s="290"/>
      <c r="D6" s="290"/>
      <c r="E6" s="290"/>
      <c r="F6" s="290"/>
      <c r="G6" s="290"/>
      <c r="H6" s="290"/>
      <c r="I6" s="290"/>
      <c r="J6" s="290"/>
      <c r="K6" s="290"/>
      <c r="L6" s="290"/>
      <c r="M6" s="65"/>
      <c r="N6" s="65"/>
      <c r="O6" s="84"/>
      <c r="P6" s="188"/>
      <c r="Q6" s="188"/>
      <c r="R6" s="188"/>
      <c r="S6" s="188"/>
      <c r="T6" s="188"/>
      <c r="U6" s="188"/>
      <c r="V6" s="188"/>
      <c r="W6" s="188"/>
      <c r="X6" s="188"/>
    </row>
    <row r="7" spans="1:24" s="14" customFormat="1" ht="17.25" customHeight="1" x14ac:dyDescent="0.25">
      <c r="A7" s="87"/>
      <c r="B7" s="88"/>
      <c r="C7" s="88"/>
      <c r="D7" s="294" t="s">
        <v>26</v>
      </c>
      <c r="E7" s="294"/>
      <c r="F7" s="294"/>
      <c r="G7" s="294"/>
      <c r="H7" s="294"/>
      <c r="I7" s="294"/>
      <c r="J7" s="294"/>
      <c r="K7" s="294"/>
      <c r="L7" s="294"/>
      <c r="M7" s="219"/>
      <c r="N7" s="88"/>
      <c r="O7" s="89"/>
      <c r="P7" s="189"/>
      <c r="Q7" s="189"/>
      <c r="R7" s="189"/>
      <c r="S7" s="189"/>
      <c r="T7" s="189"/>
      <c r="U7" s="189"/>
      <c r="V7" s="189"/>
      <c r="W7" s="189"/>
      <c r="X7" s="189"/>
    </row>
    <row r="8" spans="1:24" s="35" customFormat="1" ht="14.4" x14ac:dyDescent="0.3">
      <c r="A8" s="201"/>
      <c r="B8" s="127"/>
      <c r="C8" s="142"/>
      <c r="D8" s="202"/>
      <c r="E8" s="298" t="s">
        <v>27</v>
      </c>
      <c r="F8" s="298"/>
      <c r="G8" s="298"/>
      <c r="H8" s="298"/>
      <c r="I8" s="299">
        <v>33</v>
      </c>
      <c r="J8" s="300"/>
      <c r="K8" s="126"/>
      <c r="L8" s="126"/>
      <c r="M8" s="126"/>
      <c r="N8" s="203"/>
      <c r="O8" s="204"/>
      <c r="P8" s="205"/>
      <c r="Q8" s="205"/>
      <c r="R8" s="205"/>
      <c r="S8" s="205"/>
      <c r="T8" s="205"/>
      <c r="U8" s="205"/>
      <c r="V8" s="205"/>
      <c r="W8" s="205"/>
      <c r="X8" s="205"/>
    </row>
    <row r="9" spans="1:24" s="35" customFormat="1" ht="14.4" x14ac:dyDescent="0.3">
      <c r="A9" s="201"/>
      <c r="B9" s="127"/>
      <c r="C9" s="142"/>
      <c r="D9" s="202"/>
      <c r="E9" s="301" t="s">
        <v>28</v>
      </c>
      <c r="F9" s="301"/>
      <c r="G9" s="301"/>
      <c r="H9" s="301"/>
      <c r="I9" s="302">
        <v>596</v>
      </c>
      <c r="J9" s="303"/>
      <c r="K9" s="126"/>
      <c r="L9" s="126"/>
      <c r="M9" s="126"/>
      <c r="N9" s="203"/>
      <c r="O9" s="204"/>
      <c r="P9" s="205"/>
      <c r="Q9" s="205"/>
      <c r="R9" s="205"/>
      <c r="S9" s="205"/>
      <c r="T9" s="205"/>
      <c r="U9" s="205"/>
      <c r="V9" s="205"/>
      <c r="W9" s="205"/>
      <c r="X9" s="205"/>
    </row>
    <row r="10" spans="1:24" s="35" customFormat="1" ht="14.4" x14ac:dyDescent="0.3">
      <c r="A10" s="201"/>
      <c r="B10" s="127"/>
      <c r="C10" s="142"/>
      <c r="D10" s="202"/>
      <c r="E10" s="298" t="s">
        <v>29</v>
      </c>
      <c r="F10" s="306"/>
      <c r="G10" s="306"/>
      <c r="H10" s="307"/>
      <c r="I10" s="299">
        <v>1106</v>
      </c>
      <c r="J10" s="300"/>
      <c r="K10" s="126"/>
      <c r="L10" s="126"/>
      <c r="M10" s="126"/>
      <c r="N10" s="203"/>
      <c r="O10" s="204"/>
      <c r="P10" s="205"/>
      <c r="Q10" s="205"/>
      <c r="R10" s="205"/>
      <c r="S10" s="205"/>
      <c r="T10" s="205"/>
      <c r="U10" s="205"/>
      <c r="V10" s="205"/>
      <c r="W10" s="205"/>
      <c r="X10" s="205"/>
    </row>
    <row r="11" spans="1:24" s="35" customFormat="1" ht="14.4" x14ac:dyDescent="0.3">
      <c r="A11" s="201"/>
      <c r="B11" s="127"/>
      <c r="C11" s="142"/>
      <c r="D11" s="202"/>
      <c r="E11" s="149"/>
      <c r="F11" s="149"/>
      <c r="G11" s="149"/>
      <c r="H11" s="149"/>
      <c r="I11" s="165"/>
      <c r="J11" s="165"/>
      <c r="K11" s="126"/>
      <c r="L11" s="126"/>
      <c r="M11" s="126"/>
      <c r="N11" s="203"/>
      <c r="O11" s="204"/>
      <c r="P11" s="205"/>
      <c r="Q11" s="205"/>
      <c r="R11" s="205"/>
      <c r="S11" s="205"/>
      <c r="T11" s="205"/>
      <c r="U11" s="205"/>
      <c r="V11" s="205"/>
      <c r="W11" s="205"/>
      <c r="X11" s="205"/>
    </row>
    <row r="12" spans="1:24" ht="13.8" x14ac:dyDescent="0.25">
      <c r="A12" s="85"/>
      <c r="B12" s="39"/>
      <c r="C12" s="39"/>
      <c r="D12" s="39"/>
      <c r="E12" s="126"/>
      <c r="F12" s="126"/>
      <c r="G12" s="126"/>
      <c r="H12" s="126"/>
      <c r="I12" s="90"/>
      <c r="J12" s="90"/>
      <c r="K12" s="90"/>
      <c r="L12" s="90"/>
      <c r="M12" s="90"/>
      <c r="N12" s="90"/>
      <c r="O12" s="91"/>
    </row>
    <row r="13" spans="1:24" s="36" customFormat="1" ht="17.25" customHeight="1" x14ac:dyDescent="0.25">
      <c r="A13" s="154"/>
      <c r="B13" s="92"/>
      <c r="C13" s="92"/>
      <c r="D13" s="305" t="s">
        <v>30</v>
      </c>
      <c r="E13" s="305"/>
      <c r="F13" s="305"/>
      <c r="G13" s="305"/>
      <c r="H13" s="305"/>
      <c r="I13" s="305"/>
      <c r="J13" s="305"/>
      <c r="K13" s="305"/>
      <c r="L13" s="305"/>
      <c r="M13" s="93"/>
      <c r="N13" s="93"/>
      <c r="O13" s="94"/>
      <c r="P13" s="187"/>
      <c r="Q13" s="187"/>
      <c r="R13" s="187"/>
      <c r="S13" s="187"/>
      <c r="T13" s="187"/>
      <c r="U13" s="187"/>
      <c r="V13" s="187"/>
      <c r="W13" s="187"/>
      <c r="X13" s="187"/>
    </row>
    <row r="14" spans="1:24" ht="13.8" x14ac:dyDescent="0.25">
      <c r="A14" s="85"/>
      <c r="B14" s="39"/>
      <c r="C14" s="119"/>
      <c r="D14" s="119"/>
      <c r="E14" s="298" t="s">
        <v>31</v>
      </c>
      <c r="F14" s="298"/>
      <c r="G14" s="298"/>
      <c r="H14" s="298"/>
      <c r="I14" s="299">
        <v>1261</v>
      </c>
      <c r="J14" s="300"/>
      <c r="K14" s="90"/>
      <c r="L14" s="90"/>
      <c r="M14" s="90"/>
      <c r="N14" s="90"/>
      <c r="O14" s="91"/>
    </row>
    <row r="15" spans="1:24" ht="13.8" x14ac:dyDescent="0.25">
      <c r="A15" s="85"/>
      <c r="B15" s="39"/>
      <c r="C15" s="119"/>
      <c r="D15" s="119"/>
      <c r="E15" s="308" t="s">
        <v>32</v>
      </c>
      <c r="F15" s="308"/>
      <c r="G15" s="308"/>
      <c r="H15" s="308"/>
      <c r="I15" s="302">
        <v>549</v>
      </c>
      <c r="J15" s="303"/>
      <c r="K15" s="90"/>
      <c r="L15" s="90"/>
      <c r="M15" s="90"/>
      <c r="N15" s="90"/>
      <c r="O15" s="91"/>
    </row>
    <row r="16" spans="1:24" ht="14.4" x14ac:dyDescent="0.3">
      <c r="A16" s="95"/>
      <c r="B16" s="39"/>
      <c r="C16" s="119"/>
      <c r="D16" s="119"/>
      <c r="E16" s="304" t="s">
        <v>33</v>
      </c>
      <c r="F16" s="304"/>
      <c r="G16" s="304"/>
      <c r="H16" s="304"/>
      <c r="I16" s="309">
        <f>SUM(I14:J15)</f>
        <v>1810</v>
      </c>
      <c r="J16" s="310"/>
      <c r="K16" s="90"/>
      <c r="L16" s="90"/>
      <c r="M16" s="90"/>
      <c r="N16" s="90"/>
      <c r="O16" s="91"/>
    </row>
    <row r="17" spans="1:24" x14ac:dyDescent="0.25">
      <c r="A17" s="85"/>
      <c r="B17" s="39"/>
      <c r="C17" s="39"/>
      <c r="D17" s="39"/>
      <c r="E17" s="90"/>
      <c r="F17" s="90"/>
      <c r="G17" s="90"/>
      <c r="H17" s="90"/>
      <c r="I17" s="90"/>
      <c r="J17" s="90"/>
      <c r="K17" s="90"/>
      <c r="L17" s="90"/>
      <c r="M17" s="90"/>
      <c r="N17" s="90"/>
      <c r="O17" s="91"/>
    </row>
    <row r="18" spans="1:24" x14ac:dyDescent="0.25">
      <c r="A18" s="85"/>
      <c r="B18" s="39"/>
      <c r="C18" s="39"/>
      <c r="D18" s="39"/>
      <c r="E18" s="90"/>
      <c r="F18" s="90"/>
      <c r="G18" s="90"/>
      <c r="H18" s="90"/>
      <c r="I18" s="90"/>
      <c r="J18" s="90"/>
      <c r="K18" s="90"/>
      <c r="L18" s="90"/>
      <c r="M18" s="90"/>
      <c r="N18" s="90"/>
      <c r="O18" s="91"/>
    </row>
    <row r="19" spans="1:24" s="36" customFormat="1" ht="17.25" customHeight="1" x14ac:dyDescent="0.25">
      <c r="A19" s="154"/>
      <c r="B19" s="92"/>
      <c r="C19" s="92"/>
      <c r="D19" s="216" t="s">
        <v>34</v>
      </c>
      <c r="E19" s="216"/>
      <c r="F19" s="216"/>
      <c r="G19" s="216"/>
      <c r="H19" s="216"/>
      <c r="I19" s="216"/>
      <c r="J19" s="216"/>
      <c r="K19" s="216"/>
      <c r="L19" s="93"/>
      <c r="M19" s="93"/>
      <c r="N19" s="93"/>
      <c r="O19" s="94"/>
      <c r="P19" s="187"/>
      <c r="Q19" s="187"/>
      <c r="R19" s="187"/>
      <c r="S19" s="187"/>
      <c r="T19" s="187"/>
      <c r="U19" s="187"/>
      <c r="V19" s="187"/>
      <c r="W19" s="187"/>
      <c r="X19" s="187"/>
    </row>
    <row r="20" spans="1:24" ht="13.8" x14ac:dyDescent="0.25">
      <c r="A20" s="95"/>
      <c r="B20" s="119"/>
      <c r="C20" s="119"/>
      <c r="D20" s="119"/>
      <c r="E20" s="298" t="s">
        <v>35</v>
      </c>
      <c r="F20" s="298"/>
      <c r="G20" s="298"/>
      <c r="H20" s="298"/>
      <c r="I20" s="299">
        <v>1385</v>
      </c>
      <c r="J20" s="300"/>
      <c r="K20" s="90"/>
      <c r="L20" s="90"/>
      <c r="M20" s="90"/>
      <c r="N20" s="90"/>
      <c r="O20" s="91"/>
    </row>
    <row r="21" spans="1:24" ht="13.8" x14ac:dyDescent="0.25">
      <c r="A21" s="95"/>
      <c r="B21" s="119"/>
      <c r="C21" s="119"/>
      <c r="D21" s="119"/>
      <c r="E21" s="308" t="s">
        <v>36</v>
      </c>
      <c r="F21" s="308"/>
      <c r="G21" s="308"/>
      <c r="H21" s="308"/>
      <c r="I21" s="311">
        <v>304</v>
      </c>
      <c r="J21" s="312"/>
      <c r="K21" s="90"/>
      <c r="L21" s="90"/>
      <c r="M21" s="90"/>
      <c r="N21" s="90"/>
      <c r="O21" s="91"/>
    </row>
    <row r="22" spans="1:24" ht="13.8" x14ac:dyDescent="0.25">
      <c r="A22" s="95"/>
      <c r="B22" s="119"/>
      <c r="C22" s="119"/>
      <c r="D22" s="119"/>
      <c r="E22" s="298" t="s">
        <v>37</v>
      </c>
      <c r="F22" s="298"/>
      <c r="G22" s="298"/>
      <c r="H22" s="298"/>
      <c r="I22" s="299">
        <v>66</v>
      </c>
      <c r="J22" s="300"/>
      <c r="K22" s="90"/>
      <c r="L22" s="90"/>
      <c r="M22" s="90"/>
      <c r="N22" s="90"/>
      <c r="O22" s="91"/>
    </row>
    <row r="23" spans="1:24" ht="13.8" x14ac:dyDescent="0.25">
      <c r="A23" s="95"/>
      <c r="B23" s="119"/>
      <c r="C23" s="119"/>
      <c r="D23" s="119"/>
      <c r="E23" s="308" t="s">
        <v>38</v>
      </c>
      <c r="F23" s="308"/>
      <c r="G23" s="308"/>
      <c r="H23" s="308"/>
      <c r="I23" s="302">
        <v>18</v>
      </c>
      <c r="J23" s="303"/>
      <c r="K23" s="90"/>
      <c r="L23" s="90"/>
      <c r="M23" s="90"/>
      <c r="N23" s="90"/>
      <c r="O23" s="91"/>
    </row>
    <row r="24" spans="1:24" ht="13.8" x14ac:dyDescent="0.25">
      <c r="A24" s="95"/>
      <c r="B24" s="119"/>
      <c r="C24" s="119"/>
      <c r="D24" s="119"/>
      <c r="E24" s="298" t="s">
        <v>39</v>
      </c>
      <c r="F24" s="298"/>
      <c r="G24" s="298"/>
      <c r="H24" s="298"/>
      <c r="I24" s="299">
        <v>1</v>
      </c>
      <c r="J24" s="300"/>
      <c r="K24" s="90"/>
      <c r="L24" s="90"/>
      <c r="M24" s="90"/>
      <c r="N24" s="90"/>
      <c r="O24" s="91"/>
    </row>
    <row r="25" spans="1:24" ht="13.8" x14ac:dyDescent="0.25">
      <c r="A25" s="95"/>
      <c r="B25" s="119"/>
      <c r="C25" s="119"/>
      <c r="D25" s="119"/>
      <c r="E25" s="308" t="s">
        <v>40</v>
      </c>
      <c r="F25" s="308"/>
      <c r="G25" s="308"/>
      <c r="H25" s="308"/>
      <c r="I25" s="302">
        <v>1</v>
      </c>
      <c r="J25" s="303"/>
      <c r="K25" s="90"/>
      <c r="L25" s="90"/>
      <c r="M25" s="90"/>
      <c r="N25" s="90"/>
      <c r="O25" s="91"/>
    </row>
    <row r="26" spans="1:24" ht="13.8" x14ac:dyDescent="0.25">
      <c r="A26" s="95"/>
      <c r="B26" s="119"/>
      <c r="C26" s="119"/>
      <c r="D26" s="119"/>
      <c r="E26" s="298" t="s">
        <v>41</v>
      </c>
      <c r="F26" s="298"/>
      <c r="G26" s="298"/>
      <c r="H26" s="298"/>
      <c r="I26" s="299">
        <v>35</v>
      </c>
      <c r="J26" s="300"/>
      <c r="K26" s="90"/>
      <c r="L26" s="90"/>
      <c r="M26" s="90"/>
      <c r="N26" s="90"/>
      <c r="O26" s="91"/>
    </row>
    <row r="27" spans="1:24" ht="14.4" x14ac:dyDescent="0.3">
      <c r="A27" s="95"/>
      <c r="B27" s="119"/>
      <c r="C27" s="119"/>
      <c r="D27" s="119"/>
      <c r="E27" s="304" t="s">
        <v>33</v>
      </c>
      <c r="F27" s="304"/>
      <c r="G27" s="304"/>
      <c r="H27" s="304"/>
      <c r="I27" s="309">
        <f>SUM(I20:J26)</f>
        <v>1810</v>
      </c>
      <c r="J27" s="310"/>
      <c r="K27" s="122"/>
      <c r="L27" s="122"/>
      <c r="M27" s="122"/>
      <c r="N27" s="122"/>
      <c r="O27" s="129"/>
    </row>
    <row r="28" spans="1:24" s="1" customFormat="1" ht="14.4" x14ac:dyDescent="0.3">
      <c r="A28" s="95"/>
      <c r="B28" s="128"/>
      <c r="C28" s="119"/>
      <c r="D28" s="119"/>
      <c r="E28" s="119"/>
      <c r="F28" s="130"/>
      <c r="G28" s="130"/>
      <c r="H28" s="130"/>
      <c r="I28" s="130"/>
      <c r="J28" s="130"/>
      <c r="K28" s="130"/>
      <c r="L28" s="130"/>
      <c r="M28" s="130"/>
      <c r="N28" s="130"/>
      <c r="O28" s="131"/>
      <c r="P28" s="186"/>
      <c r="Q28" s="186"/>
      <c r="R28" s="186"/>
      <c r="S28" s="186"/>
      <c r="T28" s="186"/>
      <c r="U28" s="186"/>
      <c r="V28" s="186"/>
      <c r="W28" s="186"/>
      <c r="X28" s="186"/>
    </row>
    <row r="29" spans="1:24" s="1" customFormat="1" ht="14.4" x14ac:dyDescent="0.3">
      <c r="A29" s="96"/>
      <c r="B29" s="132"/>
      <c r="C29" s="133"/>
      <c r="D29" s="133"/>
      <c r="E29" s="133"/>
      <c r="F29" s="134"/>
      <c r="G29" s="134"/>
      <c r="H29" s="134"/>
      <c r="I29" s="134"/>
      <c r="J29" s="134"/>
      <c r="K29" s="134"/>
      <c r="L29" s="134"/>
      <c r="M29" s="134"/>
      <c r="N29" s="134"/>
      <c r="O29" s="135"/>
      <c r="P29" s="186"/>
      <c r="Q29" s="186"/>
      <c r="R29" s="186"/>
      <c r="S29" s="186"/>
      <c r="T29" s="186"/>
      <c r="U29" s="186"/>
      <c r="V29" s="186"/>
      <c r="W29" s="186"/>
      <c r="X29" s="186"/>
    </row>
    <row r="30" spans="1:24" ht="14.4" customHeight="1" x14ac:dyDescent="0.25"/>
    <row r="31" spans="1:24" ht="14.1" customHeight="1" x14ac:dyDescent="0.25">
      <c r="A31" s="174" t="s">
        <v>42</v>
      </c>
    </row>
    <row r="32" spans="1:24" ht="14.1" customHeight="1" x14ac:dyDescent="0.25">
      <c r="A32" s="316" t="s">
        <v>958</v>
      </c>
      <c r="B32" s="317"/>
      <c r="C32" s="317"/>
      <c r="D32" s="317"/>
      <c r="E32" s="317"/>
      <c r="F32" s="317"/>
      <c r="G32" s="317"/>
      <c r="H32" s="317"/>
      <c r="I32" s="317"/>
      <c r="J32" s="317"/>
      <c r="K32" s="317"/>
      <c r="L32" s="317"/>
      <c r="M32" s="317"/>
      <c r="N32" s="317"/>
      <c r="O32" s="318"/>
    </row>
    <row r="33" spans="1:24" ht="14.1" customHeight="1" x14ac:dyDescent="0.25">
      <c r="A33" s="319"/>
      <c r="B33" s="320"/>
      <c r="C33" s="320"/>
      <c r="D33" s="320"/>
      <c r="E33" s="320"/>
      <c r="F33" s="320"/>
      <c r="G33" s="320"/>
      <c r="H33" s="320"/>
      <c r="I33" s="320"/>
      <c r="J33" s="320"/>
      <c r="K33" s="320"/>
      <c r="L33" s="320"/>
      <c r="M33" s="320"/>
      <c r="N33" s="320"/>
      <c r="O33" s="321"/>
    </row>
    <row r="34" spans="1:24" ht="14.1" customHeight="1" x14ac:dyDescent="0.25">
      <c r="A34" s="319"/>
      <c r="B34" s="320"/>
      <c r="C34" s="320"/>
      <c r="D34" s="320"/>
      <c r="E34" s="320"/>
      <c r="F34" s="320"/>
      <c r="G34" s="320"/>
      <c r="H34" s="320"/>
      <c r="I34" s="320"/>
      <c r="J34" s="320"/>
      <c r="K34" s="320"/>
      <c r="L34" s="320"/>
      <c r="M34" s="320"/>
      <c r="N34" s="320"/>
      <c r="O34" s="321"/>
    </row>
    <row r="35" spans="1:24" ht="14.1" customHeight="1" x14ac:dyDescent="0.25">
      <c r="A35" s="319"/>
      <c r="B35" s="320"/>
      <c r="C35" s="320"/>
      <c r="D35" s="320"/>
      <c r="E35" s="320"/>
      <c r="F35" s="320"/>
      <c r="G35" s="320"/>
      <c r="H35" s="320"/>
      <c r="I35" s="320"/>
      <c r="J35" s="320"/>
      <c r="K35" s="320"/>
      <c r="L35" s="320"/>
      <c r="M35" s="320"/>
      <c r="N35" s="320"/>
      <c r="O35" s="321"/>
    </row>
    <row r="36" spans="1:24" ht="14.1" customHeight="1" x14ac:dyDescent="0.25">
      <c r="A36" s="319"/>
      <c r="B36" s="320"/>
      <c r="C36" s="320"/>
      <c r="D36" s="320"/>
      <c r="E36" s="320"/>
      <c r="F36" s="320"/>
      <c r="G36" s="320"/>
      <c r="H36" s="320"/>
      <c r="I36" s="320"/>
      <c r="J36" s="320"/>
      <c r="K36" s="320"/>
      <c r="L36" s="320"/>
      <c r="M36" s="320"/>
      <c r="N36" s="320"/>
      <c r="O36" s="321"/>
    </row>
    <row r="37" spans="1:24" ht="14.1" customHeight="1" x14ac:dyDescent="0.25">
      <c r="A37" s="319"/>
      <c r="B37" s="320"/>
      <c r="C37" s="320"/>
      <c r="D37" s="320"/>
      <c r="E37" s="320"/>
      <c r="F37" s="320"/>
      <c r="G37" s="320"/>
      <c r="H37" s="320"/>
      <c r="I37" s="320"/>
      <c r="J37" s="320"/>
      <c r="K37" s="320"/>
      <c r="L37" s="320"/>
      <c r="M37" s="320"/>
      <c r="N37" s="320"/>
      <c r="O37" s="321"/>
    </row>
    <row r="38" spans="1:24" ht="14.1" customHeight="1" x14ac:dyDescent="0.25">
      <c r="A38" s="319"/>
      <c r="B38" s="320"/>
      <c r="C38" s="320"/>
      <c r="D38" s="320"/>
      <c r="E38" s="320"/>
      <c r="F38" s="320"/>
      <c r="G38" s="320"/>
      <c r="H38" s="320"/>
      <c r="I38" s="320"/>
      <c r="J38" s="320"/>
      <c r="K38" s="320"/>
      <c r="L38" s="320"/>
      <c r="M38" s="320"/>
      <c r="N38" s="320"/>
      <c r="O38" s="321"/>
    </row>
    <row r="39" spans="1:24" ht="14.1" customHeight="1" x14ac:dyDescent="0.25">
      <c r="A39" s="319"/>
      <c r="B39" s="320"/>
      <c r="C39" s="320"/>
      <c r="D39" s="320"/>
      <c r="E39" s="320"/>
      <c r="F39" s="320"/>
      <c r="G39" s="320"/>
      <c r="H39" s="320"/>
      <c r="I39" s="320"/>
      <c r="J39" s="320"/>
      <c r="K39" s="320"/>
      <c r="L39" s="320"/>
      <c r="M39" s="320"/>
      <c r="N39" s="320"/>
      <c r="O39" s="321"/>
    </row>
    <row r="40" spans="1:24" ht="14.1" customHeight="1" x14ac:dyDescent="0.25">
      <c r="A40" s="319"/>
      <c r="B40" s="320"/>
      <c r="C40" s="320"/>
      <c r="D40" s="320"/>
      <c r="E40" s="320"/>
      <c r="F40" s="320"/>
      <c r="G40" s="320"/>
      <c r="H40" s="320"/>
      <c r="I40" s="320"/>
      <c r="J40" s="320"/>
      <c r="K40" s="320"/>
      <c r="L40" s="320"/>
      <c r="M40" s="320"/>
      <c r="N40" s="320"/>
      <c r="O40" s="321"/>
    </row>
    <row r="41" spans="1:24" ht="14.1" customHeight="1" x14ac:dyDescent="0.25">
      <c r="A41" s="319"/>
      <c r="B41" s="320"/>
      <c r="C41" s="320"/>
      <c r="D41" s="320"/>
      <c r="E41" s="320"/>
      <c r="F41" s="320"/>
      <c r="G41" s="320"/>
      <c r="H41" s="320"/>
      <c r="I41" s="320"/>
      <c r="J41" s="320"/>
      <c r="K41" s="320"/>
      <c r="L41" s="320"/>
      <c r="M41" s="320"/>
      <c r="N41" s="320"/>
      <c r="O41" s="321"/>
    </row>
    <row r="42" spans="1:24" ht="14.1" customHeight="1" x14ac:dyDescent="0.25">
      <c r="A42" s="319"/>
      <c r="B42" s="320"/>
      <c r="C42" s="320"/>
      <c r="D42" s="320"/>
      <c r="E42" s="320"/>
      <c r="F42" s="320"/>
      <c r="G42" s="320"/>
      <c r="H42" s="320"/>
      <c r="I42" s="320"/>
      <c r="J42" s="320"/>
      <c r="K42" s="320"/>
      <c r="L42" s="320"/>
      <c r="M42" s="320"/>
      <c r="N42" s="320"/>
      <c r="O42" s="321"/>
    </row>
    <row r="43" spans="1:24" ht="14.1" customHeight="1" x14ac:dyDescent="0.25">
      <c r="A43" s="322"/>
      <c r="B43" s="323"/>
      <c r="C43" s="323"/>
      <c r="D43" s="323"/>
      <c r="E43" s="323"/>
      <c r="F43" s="323"/>
      <c r="G43" s="323"/>
      <c r="H43" s="323"/>
      <c r="I43" s="323"/>
      <c r="J43" s="323"/>
      <c r="K43" s="323"/>
      <c r="L43" s="323"/>
      <c r="M43" s="323"/>
      <c r="N43" s="323"/>
      <c r="O43" s="324"/>
    </row>
    <row r="44" spans="1:24" s="125" customFormat="1" ht="14.1" customHeight="1" x14ac:dyDescent="0.25">
      <c r="A44" s="217"/>
      <c r="B44" s="217"/>
      <c r="C44" s="217"/>
      <c r="D44" s="217"/>
      <c r="E44" s="217"/>
      <c r="F44" s="138"/>
      <c r="G44" s="315"/>
      <c r="H44" s="315"/>
      <c r="I44" s="315"/>
      <c r="J44" s="315"/>
      <c r="K44" s="113"/>
      <c r="L44" s="124"/>
      <c r="M44" s="124"/>
      <c r="N44" s="313"/>
      <c r="O44" s="313"/>
      <c r="P44" s="124"/>
      <c r="Q44" s="124"/>
      <c r="R44" s="124"/>
      <c r="S44" s="124"/>
      <c r="T44" s="124"/>
      <c r="U44" s="124"/>
      <c r="V44" s="124"/>
      <c r="W44" s="124"/>
      <c r="X44" s="124"/>
    </row>
    <row r="45" spans="1:24" ht="14.4" x14ac:dyDescent="0.3">
      <c r="A45" s="67"/>
    </row>
    <row r="50" spans="1:24" s="125" customFormat="1" x14ac:dyDescent="0.25">
      <c r="A50" s="314"/>
      <c r="B50" s="314"/>
      <c r="C50" s="314"/>
      <c r="D50" s="314"/>
      <c r="E50" s="314"/>
      <c r="F50" s="314"/>
      <c r="G50" s="123"/>
      <c r="H50" s="123"/>
      <c r="I50" s="113"/>
      <c r="J50" s="113"/>
      <c r="K50" s="113"/>
      <c r="L50" s="124"/>
      <c r="M50" s="124"/>
      <c r="N50" s="313"/>
      <c r="O50" s="313"/>
      <c r="P50" s="124"/>
      <c r="Q50" s="124"/>
      <c r="R50" s="124"/>
      <c r="S50" s="124"/>
      <c r="T50" s="124"/>
      <c r="U50" s="124"/>
      <c r="V50" s="124"/>
      <c r="W50" s="124"/>
      <c r="X50" s="124"/>
    </row>
    <row r="68" spans="2:2" x14ac:dyDescent="0.25">
      <c r="B68" s="66"/>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2" activePane="bottomLeft" state="frozen"/>
      <selection activeCell="B1" sqref="B1"/>
      <selection pane="bottomLeft" activeCell="A48" sqref="A48:O54"/>
    </sheetView>
  </sheetViews>
  <sheetFormatPr defaultRowHeight="13.2" x14ac:dyDescent="0.25"/>
  <cols>
    <col min="1" max="1" width="3.6640625" style="33" customWidth="1"/>
    <col min="2" max="4" width="9.109375" style="33"/>
    <col min="5" max="5" width="6.6640625" style="33" customWidth="1"/>
    <col min="6" max="6" width="6.5546875" style="33" customWidth="1"/>
    <col min="7" max="14" width="5.6640625" style="33" customWidth="1"/>
    <col min="15" max="15" width="6.6640625" style="33" customWidth="1"/>
    <col min="16" max="37" width="8.88671875" style="33"/>
  </cols>
  <sheetData>
    <row r="1" spans="1:37" ht="15.75" customHeight="1" x14ac:dyDescent="0.3">
      <c r="A1" s="372" t="s">
        <v>23</v>
      </c>
      <c r="B1" s="373"/>
      <c r="C1" s="373"/>
      <c r="D1" s="373"/>
      <c r="E1" s="373"/>
      <c r="F1" s="373"/>
      <c r="G1" s="373"/>
      <c r="H1" s="373"/>
      <c r="I1" s="373"/>
      <c r="J1" s="373"/>
      <c r="K1" s="370" t="str">
        <f>'CONTACT INFORMATION'!$A$24</f>
        <v>Ventura</v>
      </c>
      <c r="L1" s="370"/>
      <c r="M1" s="370"/>
      <c r="N1" s="370"/>
      <c r="O1" s="371"/>
    </row>
    <row r="2" spans="1:37" s="1" customFormat="1" ht="8.1" customHeight="1" x14ac:dyDescent="0.3">
      <c r="A2" s="51"/>
      <c r="B2" s="51"/>
      <c r="C2" s="51"/>
      <c r="D2" s="51"/>
      <c r="E2" s="51"/>
      <c r="F2" s="51"/>
      <c r="G2" s="51"/>
      <c r="H2" s="51"/>
      <c r="I2" s="51"/>
      <c r="J2" s="51"/>
      <c r="K2" s="51"/>
      <c r="L2" s="51"/>
      <c r="M2" s="51"/>
      <c r="N2" s="51"/>
      <c r="O2" s="51"/>
      <c r="P2" s="186"/>
      <c r="Q2" s="186"/>
      <c r="R2" s="186"/>
      <c r="S2" s="186"/>
      <c r="T2" s="186"/>
      <c r="U2" s="186"/>
      <c r="V2" s="186"/>
      <c r="W2" s="186"/>
      <c r="X2" s="186"/>
      <c r="Y2" s="186"/>
      <c r="Z2" s="186"/>
      <c r="AA2" s="186"/>
      <c r="AB2" s="186"/>
      <c r="AC2" s="186"/>
      <c r="AD2" s="186"/>
      <c r="AE2" s="186"/>
      <c r="AF2" s="186"/>
      <c r="AG2" s="186"/>
      <c r="AH2" s="186"/>
      <c r="AI2" s="186"/>
      <c r="AJ2" s="186"/>
      <c r="AK2" s="186"/>
    </row>
    <row r="3" spans="1:37" ht="24" customHeight="1" x14ac:dyDescent="0.25">
      <c r="A3" s="367" t="s">
        <v>43</v>
      </c>
      <c r="B3" s="368"/>
      <c r="C3" s="368"/>
      <c r="D3" s="368"/>
      <c r="E3" s="368"/>
      <c r="F3" s="368"/>
      <c r="G3" s="368"/>
      <c r="H3" s="368"/>
      <c r="I3" s="368"/>
      <c r="J3" s="368"/>
      <c r="K3" s="368"/>
      <c r="L3" s="368"/>
      <c r="M3" s="368"/>
      <c r="N3" s="368"/>
      <c r="O3" s="369"/>
    </row>
    <row r="4" spans="1:37" s="36" customFormat="1" ht="44.25" customHeight="1" x14ac:dyDescent="0.25">
      <c r="A4" s="364" t="s">
        <v>44</v>
      </c>
      <c r="B4" s="365"/>
      <c r="C4" s="365"/>
      <c r="D4" s="365"/>
      <c r="E4" s="365"/>
      <c r="F4" s="365"/>
      <c r="G4" s="365"/>
      <c r="H4" s="365"/>
      <c r="I4" s="365"/>
      <c r="J4" s="365"/>
      <c r="K4" s="365"/>
      <c r="L4" s="365"/>
      <c r="M4" s="365"/>
      <c r="N4" s="365"/>
      <c r="O4" s="366"/>
      <c r="P4" s="187"/>
      <c r="Q4" s="187"/>
      <c r="R4" s="187"/>
      <c r="S4" s="187"/>
      <c r="T4" s="187"/>
      <c r="U4" s="187"/>
      <c r="V4" s="187"/>
      <c r="W4" s="187"/>
      <c r="X4" s="187"/>
      <c r="Y4" s="187"/>
      <c r="Z4" s="187"/>
      <c r="AA4" s="187"/>
      <c r="AB4" s="187"/>
      <c r="AC4" s="187"/>
      <c r="AD4" s="187"/>
      <c r="AE4" s="187"/>
      <c r="AF4" s="187"/>
      <c r="AG4" s="187"/>
      <c r="AH4" s="187"/>
      <c r="AI4" s="187"/>
      <c r="AJ4" s="187"/>
      <c r="AK4" s="187"/>
    </row>
    <row r="5" spans="1:37" s="38" customFormat="1" ht="8.1" customHeight="1" x14ac:dyDescent="0.25">
      <c r="A5" s="83"/>
      <c r="B5" s="65"/>
      <c r="C5" s="65"/>
      <c r="D5" s="65"/>
      <c r="E5" s="65"/>
      <c r="F5" s="65"/>
      <c r="G5" s="65"/>
      <c r="H5" s="65"/>
      <c r="I5" s="65"/>
      <c r="J5" s="65"/>
      <c r="K5" s="65"/>
      <c r="L5" s="65"/>
      <c r="M5" s="65"/>
      <c r="N5" s="65"/>
      <c r="O5" s="84"/>
      <c r="P5" s="188"/>
      <c r="Q5" s="188"/>
      <c r="R5" s="188"/>
      <c r="S5" s="188"/>
      <c r="T5" s="188"/>
      <c r="U5" s="188"/>
      <c r="V5" s="188"/>
      <c r="W5" s="188"/>
      <c r="X5" s="188"/>
      <c r="Y5" s="188"/>
      <c r="Z5" s="188"/>
      <c r="AA5" s="188"/>
      <c r="AB5" s="188"/>
      <c r="AC5" s="188"/>
      <c r="AD5" s="188"/>
      <c r="AE5" s="188"/>
      <c r="AF5" s="188"/>
      <c r="AG5" s="188"/>
      <c r="AH5" s="188"/>
      <c r="AI5" s="188"/>
      <c r="AJ5" s="188"/>
      <c r="AK5" s="188"/>
    </row>
    <row r="6" spans="1:37" s="139" customFormat="1" ht="13.5" customHeight="1" x14ac:dyDescent="0.3">
      <c r="A6" s="95"/>
      <c r="B6" s="119"/>
      <c r="C6" s="374" t="s">
        <v>45</v>
      </c>
      <c r="D6" s="374"/>
      <c r="E6" s="374"/>
      <c r="F6" s="374"/>
      <c r="G6" s="374"/>
      <c r="H6" s="374"/>
      <c r="I6" s="374"/>
      <c r="J6" s="374"/>
      <c r="K6" s="374"/>
      <c r="L6" s="374"/>
      <c r="M6" s="140"/>
      <c r="N6" s="140"/>
      <c r="O6" s="141"/>
      <c r="P6" s="119"/>
      <c r="Q6" s="119"/>
      <c r="R6" s="119"/>
      <c r="S6" s="119"/>
      <c r="T6" s="119"/>
      <c r="U6" s="119"/>
      <c r="V6" s="119"/>
      <c r="W6" s="119"/>
      <c r="X6" s="119"/>
      <c r="Y6" s="119"/>
      <c r="Z6" s="119"/>
      <c r="AA6" s="119"/>
      <c r="AB6" s="119"/>
      <c r="AC6" s="119"/>
      <c r="AD6" s="119"/>
      <c r="AE6" s="119"/>
      <c r="AF6" s="119"/>
      <c r="AG6" s="119"/>
      <c r="AH6" s="119"/>
      <c r="AI6" s="119"/>
      <c r="AJ6" s="119"/>
      <c r="AK6" s="119"/>
    </row>
    <row r="7" spans="1:37" ht="14.1" customHeight="1" x14ac:dyDescent="0.3">
      <c r="A7" s="114"/>
      <c r="B7" s="119"/>
      <c r="C7" s="119"/>
      <c r="D7" s="361" t="s">
        <v>46</v>
      </c>
      <c r="E7" s="362"/>
      <c r="F7" s="362"/>
      <c r="G7" s="362"/>
      <c r="H7" s="362"/>
      <c r="I7" s="363"/>
      <c r="J7" s="355">
        <v>373</v>
      </c>
      <c r="K7" s="356"/>
      <c r="L7" s="39"/>
      <c r="M7" s="39"/>
      <c r="N7" s="39"/>
      <c r="O7" s="86"/>
    </row>
    <row r="8" spans="1:37" ht="14.1" customHeight="1" x14ac:dyDescent="0.25">
      <c r="A8" s="85"/>
      <c r="B8" s="119"/>
      <c r="C8" s="119"/>
      <c r="D8" s="349" t="s">
        <v>47</v>
      </c>
      <c r="E8" s="350"/>
      <c r="F8" s="350"/>
      <c r="G8" s="350"/>
      <c r="H8" s="350"/>
      <c r="I8" s="351"/>
      <c r="J8" s="357">
        <v>733</v>
      </c>
      <c r="K8" s="358"/>
      <c r="L8" s="116"/>
      <c r="M8" s="116"/>
      <c r="N8" s="116"/>
      <c r="O8" s="117"/>
      <c r="P8" s="189"/>
    </row>
    <row r="9" spans="1:37" ht="14.1" customHeight="1" x14ac:dyDescent="0.25">
      <c r="A9" s="85"/>
      <c r="B9" s="119"/>
      <c r="C9" s="119"/>
      <c r="D9" s="352" t="s">
        <v>33</v>
      </c>
      <c r="E9" s="353"/>
      <c r="F9" s="353"/>
      <c r="G9" s="353"/>
      <c r="H9" s="353"/>
      <c r="I9" s="354"/>
      <c r="J9" s="359">
        <f>SUM(I7:J8)</f>
        <v>1106</v>
      </c>
      <c r="K9" s="360"/>
      <c r="L9" s="116"/>
      <c r="M9" s="116"/>
      <c r="N9" s="116"/>
      <c r="O9" s="117"/>
      <c r="P9" s="189"/>
    </row>
    <row r="10" spans="1:37" s="1" customFormat="1" ht="8.1" customHeight="1" x14ac:dyDescent="0.25">
      <c r="A10" s="95"/>
      <c r="B10" s="119"/>
      <c r="C10" s="119"/>
      <c r="D10" s="150"/>
      <c r="E10" s="150"/>
      <c r="F10" s="150"/>
      <c r="G10" s="150"/>
      <c r="H10" s="150"/>
      <c r="I10" s="150"/>
      <c r="J10" s="151"/>
      <c r="K10" s="151"/>
      <c r="L10" s="116"/>
      <c r="M10" s="116"/>
      <c r="N10" s="116"/>
      <c r="O10" s="117"/>
      <c r="P10" s="190"/>
      <c r="Q10" s="186"/>
      <c r="R10" s="186"/>
      <c r="S10" s="186"/>
      <c r="T10" s="186"/>
      <c r="U10" s="186"/>
      <c r="V10" s="186"/>
      <c r="W10" s="186"/>
      <c r="X10" s="186"/>
      <c r="Y10" s="186"/>
      <c r="Z10" s="186"/>
      <c r="AA10" s="186"/>
      <c r="AB10" s="186"/>
      <c r="AC10" s="186"/>
      <c r="AD10" s="186"/>
      <c r="AE10" s="186"/>
      <c r="AF10" s="186"/>
      <c r="AG10" s="186"/>
      <c r="AH10" s="186"/>
      <c r="AI10" s="186"/>
      <c r="AJ10" s="186"/>
      <c r="AK10" s="186"/>
    </row>
    <row r="11" spans="1:37" s="1" customFormat="1" ht="14.1" customHeight="1" x14ac:dyDescent="0.25">
      <c r="A11" s="95"/>
      <c r="B11" s="119"/>
      <c r="C11" s="346" t="s">
        <v>48</v>
      </c>
      <c r="D11" s="346"/>
      <c r="E11" s="346"/>
      <c r="F11" s="346"/>
      <c r="G11" s="346"/>
      <c r="H11" s="116"/>
      <c r="I11" s="116"/>
      <c r="J11" s="116"/>
      <c r="K11" s="116"/>
      <c r="L11" s="116"/>
      <c r="M11" s="116"/>
      <c r="N11" s="116"/>
      <c r="O11" s="117"/>
      <c r="P11" s="190"/>
      <c r="Q11" s="186"/>
      <c r="R11" s="186"/>
      <c r="S11" s="186"/>
      <c r="T11" s="186"/>
      <c r="U11" s="186"/>
      <c r="V11" s="186"/>
      <c r="W11" s="186"/>
      <c r="X11" s="186"/>
      <c r="Y11" s="186"/>
      <c r="Z11" s="186"/>
      <c r="AA11" s="186"/>
      <c r="AB11" s="186"/>
      <c r="AC11" s="186"/>
      <c r="AD11" s="186"/>
      <c r="AE11" s="186"/>
      <c r="AF11" s="186"/>
      <c r="AG11" s="186"/>
      <c r="AH11" s="186"/>
      <c r="AI11" s="186"/>
      <c r="AJ11" s="186"/>
      <c r="AK11" s="186"/>
    </row>
    <row r="12" spans="1:37" s="1" customFormat="1" ht="14.1" customHeight="1" x14ac:dyDescent="0.25">
      <c r="A12" s="95"/>
      <c r="B12" s="119"/>
      <c r="C12" s="39"/>
      <c r="D12" s="347" t="s">
        <v>27</v>
      </c>
      <c r="E12" s="348"/>
      <c r="F12" s="348"/>
      <c r="G12" s="348"/>
      <c r="H12" s="348"/>
      <c r="I12" s="348"/>
      <c r="J12" s="299">
        <v>356</v>
      </c>
      <c r="K12" s="300"/>
      <c r="L12" s="116"/>
      <c r="M12" s="116"/>
      <c r="N12" s="116"/>
      <c r="O12" s="117"/>
      <c r="P12" s="190"/>
      <c r="Q12" s="186"/>
      <c r="R12" s="186"/>
      <c r="S12" s="186"/>
      <c r="T12" s="186"/>
      <c r="U12" s="186"/>
      <c r="V12" s="186"/>
      <c r="W12" s="186"/>
      <c r="X12" s="186"/>
      <c r="Y12" s="186"/>
      <c r="Z12" s="186"/>
      <c r="AA12" s="186"/>
      <c r="AB12" s="186"/>
      <c r="AC12" s="186"/>
      <c r="AD12" s="186"/>
      <c r="AE12" s="186"/>
      <c r="AF12" s="186"/>
      <c r="AG12" s="186"/>
      <c r="AH12" s="186"/>
      <c r="AI12" s="186"/>
      <c r="AJ12" s="186"/>
      <c r="AK12" s="186"/>
    </row>
    <row r="13" spans="1:37" s="1" customFormat="1" ht="14.1" customHeight="1" x14ac:dyDescent="0.25">
      <c r="A13" s="95"/>
      <c r="B13" s="119"/>
      <c r="C13" s="39"/>
      <c r="D13" s="341" t="s">
        <v>49</v>
      </c>
      <c r="E13" s="342"/>
      <c r="F13" s="342"/>
      <c r="G13" s="342"/>
      <c r="H13" s="342"/>
      <c r="I13" s="342"/>
      <c r="J13" s="302">
        <v>71</v>
      </c>
      <c r="K13" s="303"/>
      <c r="L13" s="116"/>
      <c r="M13" s="116"/>
      <c r="N13" s="116"/>
      <c r="O13" s="117"/>
      <c r="P13" s="190"/>
      <c r="Q13" s="186"/>
      <c r="R13" s="186"/>
      <c r="S13" s="186"/>
      <c r="T13" s="186"/>
      <c r="U13" s="186"/>
      <c r="V13" s="186"/>
      <c r="W13" s="186"/>
      <c r="X13" s="186"/>
      <c r="Y13" s="186"/>
      <c r="Z13" s="186"/>
      <c r="AA13" s="186"/>
      <c r="AB13" s="186"/>
      <c r="AC13" s="186"/>
      <c r="AD13" s="186"/>
      <c r="AE13" s="186"/>
      <c r="AF13" s="186"/>
      <c r="AG13" s="186"/>
      <c r="AH13" s="186"/>
      <c r="AI13" s="186"/>
      <c r="AJ13" s="186"/>
      <c r="AK13" s="186"/>
    </row>
    <row r="14" spans="1:37" s="1" customFormat="1" ht="14.1" customHeight="1" x14ac:dyDescent="0.25">
      <c r="A14" s="95"/>
      <c r="B14" s="119"/>
      <c r="C14" s="39"/>
      <c r="D14" s="347" t="s">
        <v>50</v>
      </c>
      <c r="E14" s="348"/>
      <c r="F14" s="348"/>
      <c r="G14" s="348"/>
      <c r="H14" s="348"/>
      <c r="I14" s="348"/>
      <c r="J14" s="299">
        <v>641</v>
      </c>
      <c r="K14" s="300"/>
      <c r="L14" s="116"/>
      <c r="M14" s="116"/>
      <c r="N14" s="116"/>
      <c r="O14" s="117"/>
      <c r="P14" s="190"/>
      <c r="Q14" s="186"/>
      <c r="R14" s="186"/>
      <c r="S14" s="186"/>
      <c r="T14" s="186"/>
      <c r="U14" s="186"/>
      <c r="V14" s="186"/>
      <c r="W14" s="186"/>
      <c r="X14" s="186"/>
      <c r="Y14" s="186"/>
      <c r="Z14" s="186"/>
      <c r="AA14" s="186"/>
      <c r="AB14" s="186"/>
      <c r="AC14" s="186"/>
      <c r="AD14" s="186"/>
      <c r="AE14" s="186"/>
      <c r="AF14" s="186"/>
      <c r="AG14" s="186"/>
      <c r="AH14" s="186"/>
      <c r="AI14" s="186"/>
      <c r="AJ14" s="186"/>
      <c r="AK14" s="186"/>
    </row>
    <row r="15" spans="1:37" s="1" customFormat="1" ht="14.1" customHeight="1" x14ac:dyDescent="0.25">
      <c r="A15" s="95"/>
      <c r="B15" s="119"/>
      <c r="C15" s="39"/>
      <c r="D15" s="341" t="s">
        <v>51</v>
      </c>
      <c r="E15" s="342"/>
      <c r="F15" s="342"/>
      <c r="G15" s="342"/>
      <c r="H15" s="342"/>
      <c r="I15" s="342"/>
      <c r="J15" s="302">
        <v>0</v>
      </c>
      <c r="K15" s="303"/>
      <c r="L15" s="116"/>
      <c r="M15" s="116"/>
      <c r="N15" s="116"/>
      <c r="O15" s="117"/>
      <c r="P15" s="190"/>
      <c r="Q15" s="186"/>
      <c r="R15" s="186"/>
      <c r="S15" s="186"/>
      <c r="T15" s="186"/>
      <c r="U15" s="186"/>
      <c r="V15" s="186"/>
      <c r="W15" s="186"/>
      <c r="X15" s="186"/>
      <c r="Y15" s="186"/>
      <c r="Z15" s="186"/>
      <c r="AA15" s="186"/>
      <c r="AB15" s="186"/>
      <c r="AC15" s="186"/>
      <c r="AD15" s="186"/>
      <c r="AE15" s="186"/>
      <c r="AF15" s="186"/>
      <c r="AG15" s="186"/>
      <c r="AH15" s="186"/>
      <c r="AI15" s="186"/>
      <c r="AJ15" s="186"/>
      <c r="AK15" s="186"/>
    </row>
    <row r="16" spans="1:37" s="1" customFormat="1" ht="14.1" customHeight="1" x14ac:dyDescent="0.25">
      <c r="A16" s="95"/>
      <c r="B16" s="119"/>
      <c r="C16" s="39"/>
      <c r="D16" s="347" t="s">
        <v>52</v>
      </c>
      <c r="E16" s="348"/>
      <c r="F16" s="348"/>
      <c r="G16" s="348"/>
      <c r="H16" s="348"/>
      <c r="I16" s="348"/>
      <c r="J16" s="299">
        <v>38</v>
      </c>
      <c r="K16" s="300"/>
      <c r="L16" s="116"/>
      <c r="M16" s="116"/>
      <c r="N16" s="116"/>
      <c r="O16" s="117"/>
      <c r="P16" s="190"/>
      <c r="Q16" s="186"/>
      <c r="R16" s="186"/>
      <c r="S16" s="186"/>
      <c r="T16" s="186"/>
      <c r="U16" s="186"/>
      <c r="V16" s="186"/>
      <c r="W16" s="186"/>
      <c r="X16" s="186"/>
      <c r="Y16" s="186"/>
      <c r="Z16" s="186"/>
      <c r="AA16" s="186"/>
      <c r="AB16" s="186"/>
      <c r="AC16" s="186"/>
      <c r="AD16" s="186"/>
      <c r="AE16" s="186"/>
      <c r="AF16" s="186"/>
      <c r="AG16" s="186"/>
      <c r="AH16" s="186"/>
      <c r="AI16" s="186"/>
      <c r="AJ16" s="186"/>
      <c r="AK16" s="186"/>
    </row>
    <row r="17" spans="1:37" s="1" customFormat="1" ht="8.1" customHeight="1" x14ac:dyDescent="0.25">
      <c r="A17" s="95"/>
      <c r="B17" s="119"/>
      <c r="C17" s="119"/>
      <c r="D17" s="150"/>
      <c r="E17" s="150"/>
      <c r="F17" s="150"/>
      <c r="G17" s="150"/>
      <c r="H17" s="150"/>
      <c r="I17" s="150"/>
      <c r="J17" s="151"/>
      <c r="K17" s="151"/>
      <c r="L17" s="116"/>
      <c r="M17" s="116"/>
      <c r="N17" s="116"/>
      <c r="O17" s="117"/>
      <c r="P17" s="190"/>
      <c r="Q17" s="186"/>
      <c r="R17" s="186"/>
      <c r="S17" s="186"/>
      <c r="T17" s="186"/>
      <c r="U17" s="186"/>
      <c r="V17" s="186"/>
      <c r="W17" s="186"/>
      <c r="X17" s="186"/>
      <c r="Y17" s="186"/>
      <c r="Z17" s="186"/>
      <c r="AA17" s="186"/>
      <c r="AB17" s="186"/>
      <c r="AC17" s="186"/>
      <c r="AD17" s="186"/>
      <c r="AE17" s="186"/>
      <c r="AF17" s="186"/>
      <c r="AG17" s="186"/>
      <c r="AH17" s="186"/>
      <c r="AI17" s="186"/>
      <c r="AJ17" s="186"/>
      <c r="AK17" s="186"/>
    </row>
    <row r="18" spans="1:37" s="1" customFormat="1" ht="14.1" customHeight="1" x14ac:dyDescent="0.25">
      <c r="A18" s="95"/>
      <c r="B18" s="119"/>
      <c r="C18" s="346" t="s">
        <v>53</v>
      </c>
      <c r="D18" s="346"/>
      <c r="E18" s="346"/>
      <c r="F18" s="346"/>
      <c r="G18" s="346"/>
      <c r="H18" s="116"/>
      <c r="I18" s="116"/>
      <c r="J18" s="116"/>
      <c r="K18" s="116"/>
      <c r="L18" s="116"/>
      <c r="M18" s="116"/>
      <c r="N18" s="116"/>
      <c r="O18" s="117"/>
      <c r="P18" s="190"/>
      <c r="Q18" s="186"/>
      <c r="R18" s="186"/>
      <c r="S18" s="186"/>
      <c r="T18" s="186"/>
      <c r="U18" s="186"/>
      <c r="V18" s="186"/>
      <c r="W18" s="186"/>
      <c r="X18" s="186"/>
      <c r="Y18" s="186"/>
      <c r="Z18" s="186"/>
      <c r="AA18" s="186"/>
      <c r="AB18" s="186"/>
      <c r="AC18" s="186"/>
      <c r="AD18" s="186"/>
      <c r="AE18" s="186"/>
      <c r="AF18" s="186"/>
      <c r="AG18" s="186"/>
      <c r="AH18" s="186"/>
      <c r="AI18" s="186"/>
      <c r="AJ18" s="186"/>
      <c r="AK18" s="186"/>
    </row>
    <row r="19" spans="1:37" s="1" customFormat="1" ht="14.1" customHeight="1" x14ac:dyDescent="0.25">
      <c r="A19" s="95"/>
      <c r="B19" s="119"/>
      <c r="C19" s="119"/>
      <c r="D19" s="331" t="s">
        <v>54</v>
      </c>
      <c r="E19" s="332"/>
      <c r="F19" s="332"/>
      <c r="G19" s="332"/>
      <c r="H19" s="332"/>
      <c r="I19" s="332"/>
      <c r="J19" s="333">
        <v>18</v>
      </c>
      <c r="K19" s="334"/>
      <c r="L19" s="116"/>
      <c r="M19" s="116"/>
      <c r="N19" s="116"/>
      <c r="O19" s="117"/>
      <c r="P19" s="190"/>
      <c r="Q19" s="186"/>
      <c r="R19" s="186"/>
      <c r="S19" s="186"/>
      <c r="T19" s="186"/>
      <c r="U19" s="186"/>
      <c r="V19" s="186"/>
      <c r="W19" s="186"/>
      <c r="X19" s="186"/>
      <c r="Y19" s="186"/>
      <c r="Z19" s="186"/>
      <c r="AA19" s="186"/>
      <c r="AB19" s="186"/>
      <c r="AC19" s="186"/>
      <c r="AD19" s="186"/>
      <c r="AE19" s="186"/>
      <c r="AF19" s="186"/>
      <c r="AG19" s="186"/>
      <c r="AH19" s="186"/>
      <c r="AI19" s="186"/>
      <c r="AJ19" s="186"/>
      <c r="AK19" s="186"/>
    </row>
    <row r="20" spans="1:37" s="1" customFormat="1" ht="14.1" customHeight="1" x14ac:dyDescent="0.25">
      <c r="A20" s="95"/>
      <c r="B20" s="119"/>
      <c r="C20" s="119"/>
      <c r="D20" s="327" t="s">
        <v>55</v>
      </c>
      <c r="E20" s="328"/>
      <c r="F20" s="328"/>
      <c r="G20" s="328"/>
      <c r="H20" s="328"/>
      <c r="I20" s="328"/>
      <c r="J20" s="329">
        <v>0</v>
      </c>
      <c r="K20" s="330"/>
      <c r="L20" s="116"/>
      <c r="M20" s="116"/>
      <c r="N20" s="116"/>
      <c r="O20" s="117"/>
      <c r="P20" s="190"/>
      <c r="Q20" s="186"/>
      <c r="R20" s="186"/>
      <c r="S20" s="186"/>
      <c r="T20" s="186"/>
      <c r="U20" s="186"/>
      <c r="V20" s="186"/>
      <c r="W20" s="186"/>
      <c r="X20" s="186"/>
      <c r="Y20" s="186"/>
      <c r="Z20" s="186"/>
      <c r="AA20" s="186"/>
      <c r="AB20" s="186"/>
      <c r="AC20" s="186"/>
      <c r="AD20" s="186"/>
      <c r="AE20" s="186"/>
      <c r="AF20" s="186"/>
      <c r="AG20" s="186"/>
      <c r="AH20" s="186"/>
      <c r="AI20" s="186"/>
      <c r="AJ20" s="186"/>
      <c r="AK20" s="186"/>
    </row>
    <row r="21" spans="1:37" s="1" customFormat="1" ht="14.1" customHeight="1" x14ac:dyDescent="0.25">
      <c r="A21" s="95"/>
      <c r="B21" s="119"/>
      <c r="C21" s="119"/>
      <c r="D21" s="331" t="s">
        <v>56</v>
      </c>
      <c r="E21" s="332"/>
      <c r="F21" s="332"/>
      <c r="G21" s="332"/>
      <c r="H21" s="332"/>
      <c r="I21" s="332"/>
      <c r="J21" s="333">
        <v>480</v>
      </c>
      <c r="K21" s="334"/>
      <c r="L21" s="116"/>
      <c r="M21" s="116"/>
      <c r="N21" s="116"/>
      <c r="O21" s="117"/>
      <c r="P21" s="190"/>
      <c r="Q21" s="186"/>
      <c r="R21" s="186"/>
      <c r="S21" s="186"/>
      <c r="T21" s="186"/>
      <c r="U21" s="186"/>
      <c r="V21" s="186"/>
      <c r="W21" s="186"/>
      <c r="X21" s="186"/>
      <c r="Y21" s="186"/>
      <c r="Z21" s="186"/>
      <c r="AA21" s="186"/>
      <c r="AB21" s="186"/>
      <c r="AC21" s="186"/>
      <c r="AD21" s="186"/>
      <c r="AE21" s="186"/>
      <c r="AF21" s="186"/>
      <c r="AG21" s="186"/>
      <c r="AH21" s="186"/>
      <c r="AI21" s="186"/>
      <c r="AJ21" s="186"/>
      <c r="AK21" s="186"/>
    </row>
    <row r="22" spans="1:37" s="1" customFormat="1" ht="14.1" customHeight="1" x14ac:dyDescent="0.25">
      <c r="A22" s="95"/>
      <c r="B22" s="119"/>
      <c r="C22" s="119"/>
      <c r="D22" s="327" t="s">
        <v>57</v>
      </c>
      <c r="E22" s="328"/>
      <c r="F22" s="328"/>
      <c r="G22" s="328"/>
      <c r="H22" s="328"/>
      <c r="I22" s="328"/>
      <c r="J22" s="329">
        <v>0</v>
      </c>
      <c r="K22" s="330"/>
      <c r="L22" s="116"/>
      <c r="M22" s="116"/>
      <c r="N22" s="116"/>
      <c r="O22" s="117"/>
      <c r="P22" s="190"/>
      <c r="Q22" s="186"/>
      <c r="R22" s="186"/>
      <c r="S22" s="186"/>
      <c r="T22" s="186"/>
      <c r="U22" s="186"/>
      <c r="V22" s="186"/>
      <c r="W22" s="186"/>
      <c r="X22" s="186"/>
      <c r="Y22" s="186"/>
      <c r="Z22" s="186"/>
      <c r="AA22" s="186"/>
      <c r="AB22" s="186"/>
      <c r="AC22" s="186"/>
      <c r="AD22" s="186"/>
      <c r="AE22" s="186"/>
      <c r="AF22" s="186"/>
      <c r="AG22" s="186"/>
      <c r="AH22" s="186"/>
      <c r="AI22" s="186"/>
      <c r="AJ22" s="186"/>
      <c r="AK22" s="186"/>
    </row>
    <row r="23" spans="1:37" s="1" customFormat="1" ht="14.1" customHeight="1" x14ac:dyDescent="0.25">
      <c r="A23" s="95"/>
      <c r="B23" s="119"/>
      <c r="C23" s="119"/>
      <c r="D23" s="331" t="s">
        <v>58</v>
      </c>
      <c r="E23" s="332"/>
      <c r="F23" s="332"/>
      <c r="G23" s="332"/>
      <c r="H23" s="332"/>
      <c r="I23" s="332"/>
      <c r="J23" s="333">
        <v>140</v>
      </c>
      <c r="K23" s="334"/>
      <c r="L23" s="116"/>
      <c r="M23" s="116"/>
      <c r="N23" s="116"/>
      <c r="O23" s="117"/>
      <c r="P23" s="190"/>
      <c r="Q23" s="186"/>
      <c r="R23" s="186"/>
      <c r="S23" s="186"/>
      <c r="T23" s="186"/>
      <c r="U23" s="186"/>
      <c r="V23" s="186"/>
      <c r="W23" s="186"/>
      <c r="X23" s="186"/>
      <c r="Y23" s="186"/>
      <c r="Z23" s="186"/>
      <c r="AA23" s="186"/>
      <c r="AB23" s="186"/>
      <c r="AC23" s="186"/>
      <c r="AD23" s="186"/>
      <c r="AE23" s="186"/>
      <c r="AF23" s="186"/>
      <c r="AG23" s="186"/>
      <c r="AH23" s="186"/>
      <c r="AI23" s="186"/>
      <c r="AJ23" s="186"/>
      <c r="AK23" s="186"/>
    </row>
    <row r="24" spans="1:37" s="1" customFormat="1" ht="14.1" customHeight="1" x14ac:dyDescent="0.25">
      <c r="A24" s="95"/>
      <c r="B24" s="119"/>
      <c r="C24" s="119"/>
      <c r="D24" s="327" t="s">
        <v>59</v>
      </c>
      <c r="E24" s="328"/>
      <c r="F24" s="328"/>
      <c r="G24" s="328"/>
      <c r="H24" s="328"/>
      <c r="I24" s="328"/>
      <c r="J24" s="329">
        <v>0</v>
      </c>
      <c r="K24" s="330"/>
      <c r="L24" s="116"/>
      <c r="M24" s="116"/>
      <c r="N24" s="116"/>
      <c r="O24" s="117"/>
      <c r="P24" s="190"/>
      <c r="Q24" s="186"/>
      <c r="R24" s="186"/>
      <c r="S24" s="186"/>
      <c r="T24" s="186"/>
      <c r="U24" s="186"/>
      <c r="V24" s="186"/>
      <c r="W24" s="186"/>
      <c r="X24" s="186"/>
      <c r="Y24" s="186"/>
      <c r="Z24" s="186"/>
      <c r="AA24" s="186"/>
      <c r="AB24" s="186"/>
      <c r="AC24" s="186"/>
      <c r="AD24" s="186"/>
      <c r="AE24" s="186"/>
      <c r="AF24" s="186"/>
      <c r="AG24" s="186"/>
      <c r="AH24" s="186"/>
      <c r="AI24" s="186"/>
      <c r="AJ24" s="186"/>
      <c r="AK24" s="186"/>
    </row>
    <row r="25" spans="1:37" s="1" customFormat="1" ht="14.1" customHeight="1" x14ac:dyDescent="0.3">
      <c r="A25" s="95"/>
      <c r="B25" s="119"/>
      <c r="C25" s="39"/>
      <c r="D25" s="331" t="s">
        <v>60</v>
      </c>
      <c r="E25" s="332"/>
      <c r="F25" s="332"/>
      <c r="G25" s="332"/>
      <c r="H25" s="332"/>
      <c r="I25" s="332"/>
      <c r="J25" s="333">
        <v>3</v>
      </c>
      <c r="K25" s="334"/>
      <c r="L25" s="116"/>
      <c r="M25" s="116"/>
      <c r="N25" s="116"/>
      <c r="O25" s="117"/>
      <c r="P25" s="190"/>
      <c r="Q25" s="186"/>
      <c r="R25" s="186"/>
      <c r="S25" s="186"/>
      <c r="T25" s="186"/>
      <c r="U25" s="186"/>
      <c r="V25" s="186"/>
      <c r="W25" s="186"/>
      <c r="X25" s="186"/>
      <c r="Y25" s="186"/>
      <c r="Z25" s="186"/>
      <c r="AA25" s="186"/>
      <c r="AB25" s="186"/>
      <c r="AC25" s="186"/>
      <c r="AD25" s="186"/>
      <c r="AE25" s="186"/>
      <c r="AF25" s="186"/>
      <c r="AG25" s="186"/>
      <c r="AH25" s="186"/>
      <c r="AI25" s="186"/>
      <c r="AJ25" s="186"/>
      <c r="AK25" s="186"/>
    </row>
    <row r="26" spans="1:37" s="1" customFormat="1" ht="14.1" customHeight="1" x14ac:dyDescent="0.25">
      <c r="A26" s="95"/>
      <c r="B26" s="119"/>
      <c r="C26" s="119"/>
      <c r="D26" s="335" t="s">
        <v>33</v>
      </c>
      <c r="E26" s="336"/>
      <c r="F26" s="336"/>
      <c r="G26" s="336"/>
      <c r="H26" s="336"/>
      <c r="I26" s="337"/>
      <c r="J26" s="309">
        <f>SUM(J19:K25)</f>
        <v>641</v>
      </c>
      <c r="K26" s="310"/>
      <c r="L26" s="116"/>
      <c r="M26" s="116"/>
      <c r="N26" s="116"/>
      <c r="O26" s="117"/>
      <c r="P26" s="190"/>
      <c r="Q26" s="186"/>
      <c r="R26" s="186"/>
      <c r="S26" s="186"/>
      <c r="T26" s="186"/>
      <c r="U26" s="186"/>
      <c r="V26" s="186"/>
      <c r="W26" s="186"/>
      <c r="X26" s="186"/>
      <c r="Y26" s="186"/>
      <c r="Z26" s="186"/>
      <c r="AA26" s="186"/>
      <c r="AB26" s="186"/>
      <c r="AC26" s="186"/>
      <c r="AD26" s="186"/>
      <c r="AE26" s="186"/>
      <c r="AF26" s="186"/>
      <c r="AG26" s="186"/>
      <c r="AH26" s="186"/>
      <c r="AI26" s="186"/>
      <c r="AJ26" s="186"/>
      <c r="AK26" s="186"/>
    </row>
    <row r="27" spans="1:37" s="1" customFormat="1" ht="8.1" customHeight="1" x14ac:dyDescent="0.25">
      <c r="A27" s="95"/>
      <c r="B27" s="119"/>
      <c r="C27" s="119"/>
      <c r="D27" s="39"/>
      <c r="E27" s="116"/>
      <c r="F27" s="116"/>
      <c r="G27" s="116"/>
      <c r="H27" s="116"/>
      <c r="I27" s="116"/>
      <c r="J27" s="116"/>
      <c r="K27" s="116"/>
      <c r="L27" s="116"/>
      <c r="M27" s="116"/>
      <c r="N27" s="116"/>
      <c r="O27" s="117"/>
      <c r="P27" s="190"/>
      <c r="Q27" s="186"/>
      <c r="R27" s="186"/>
      <c r="S27" s="186"/>
      <c r="T27" s="186"/>
      <c r="U27" s="186"/>
      <c r="V27" s="186"/>
      <c r="W27" s="186"/>
      <c r="X27" s="186"/>
      <c r="Y27" s="186"/>
      <c r="Z27" s="186"/>
      <c r="AA27" s="186"/>
      <c r="AB27" s="186"/>
      <c r="AC27" s="186"/>
      <c r="AD27" s="186"/>
      <c r="AE27" s="186"/>
      <c r="AF27" s="186"/>
      <c r="AG27" s="186"/>
      <c r="AH27" s="186"/>
      <c r="AI27" s="186"/>
      <c r="AJ27" s="186"/>
      <c r="AK27" s="186"/>
    </row>
    <row r="28" spans="1:37" s="1" customFormat="1" ht="14.1" customHeight="1" x14ac:dyDescent="0.25">
      <c r="A28" s="95"/>
      <c r="B28" s="119"/>
      <c r="C28" s="338" t="s">
        <v>61</v>
      </c>
      <c r="D28" s="338"/>
      <c r="E28" s="338"/>
      <c r="F28" s="338"/>
      <c r="G28" s="338"/>
      <c r="H28" s="116"/>
      <c r="I28" s="116"/>
      <c r="J28" s="116"/>
      <c r="K28" s="116"/>
      <c r="L28" s="116"/>
      <c r="M28" s="116"/>
      <c r="N28" s="116"/>
      <c r="O28" s="117"/>
      <c r="P28" s="190"/>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1:37" s="1" customFormat="1" ht="14.1" customHeight="1" x14ac:dyDescent="0.25">
      <c r="A29" s="95"/>
      <c r="B29" s="119"/>
      <c r="C29" s="142"/>
      <c r="D29" s="325" t="s">
        <v>62</v>
      </c>
      <c r="E29" s="325"/>
      <c r="F29" s="325"/>
      <c r="G29" s="325"/>
      <c r="H29" s="325"/>
      <c r="I29" s="325"/>
      <c r="J29" s="326">
        <v>625</v>
      </c>
      <c r="K29" s="326"/>
      <c r="L29" s="116"/>
      <c r="M29" s="116"/>
      <c r="N29" s="116"/>
      <c r="O29" s="117"/>
      <c r="P29" s="190"/>
      <c r="Q29" s="186"/>
      <c r="R29" s="186"/>
      <c r="S29" s="186"/>
      <c r="T29" s="186"/>
      <c r="U29" s="186"/>
      <c r="V29" s="186"/>
      <c r="W29" s="186"/>
      <c r="X29" s="186"/>
      <c r="Y29" s="186"/>
      <c r="Z29" s="186"/>
      <c r="AA29" s="186"/>
      <c r="AB29" s="186"/>
      <c r="AC29" s="186"/>
      <c r="AD29" s="186"/>
      <c r="AE29" s="186"/>
      <c r="AF29" s="186"/>
      <c r="AG29" s="186"/>
      <c r="AH29" s="186"/>
      <c r="AI29" s="186"/>
      <c r="AJ29" s="186"/>
      <c r="AK29" s="186"/>
    </row>
    <row r="30" spans="1:37" ht="8.1" customHeight="1" x14ac:dyDescent="0.25">
      <c r="A30" s="85"/>
      <c r="B30" s="119"/>
      <c r="C30" s="119"/>
      <c r="D30" s="119"/>
      <c r="E30" s="115"/>
      <c r="F30" s="116"/>
      <c r="G30" s="116"/>
      <c r="H30" s="116"/>
      <c r="I30" s="116"/>
      <c r="J30" s="116"/>
      <c r="K30" s="116"/>
      <c r="L30" s="116"/>
      <c r="M30" s="116"/>
      <c r="N30" s="116"/>
      <c r="O30" s="117"/>
      <c r="P30" s="189"/>
    </row>
    <row r="31" spans="1:37" ht="18" customHeight="1" x14ac:dyDescent="0.25">
      <c r="A31" s="85"/>
      <c r="B31" s="39"/>
      <c r="C31" s="339" t="s">
        <v>63</v>
      </c>
      <c r="D31" s="340"/>
      <c r="E31" s="340"/>
      <c r="F31" s="340"/>
      <c r="G31" s="116"/>
      <c r="H31" s="116"/>
      <c r="I31" s="116"/>
      <c r="J31" s="116"/>
      <c r="K31" s="116"/>
      <c r="L31" s="116"/>
      <c r="M31" s="116"/>
      <c r="N31" s="116"/>
      <c r="O31" s="117"/>
      <c r="P31" s="189"/>
    </row>
    <row r="32" spans="1:37" ht="13.5" customHeight="1" x14ac:dyDescent="0.25">
      <c r="A32" s="85"/>
      <c r="B32" s="39"/>
      <c r="C32" s="39"/>
      <c r="D32" s="377" t="s">
        <v>31</v>
      </c>
      <c r="E32" s="377"/>
      <c r="F32" s="377"/>
      <c r="G32" s="377"/>
      <c r="H32" s="377"/>
      <c r="I32" s="377"/>
      <c r="J32" s="344">
        <v>814</v>
      </c>
      <c r="K32" s="345"/>
      <c r="L32" s="116"/>
      <c r="M32" s="116"/>
      <c r="N32" s="116"/>
      <c r="O32" s="117"/>
      <c r="P32" s="189"/>
    </row>
    <row r="33" spans="1:37" ht="14.1" customHeight="1" x14ac:dyDescent="0.25">
      <c r="A33" s="85"/>
      <c r="B33" s="39"/>
      <c r="C33" s="39"/>
      <c r="D33" s="341" t="s">
        <v>32</v>
      </c>
      <c r="E33" s="342"/>
      <c r="F33" s="342"/>
      <c r="G33" s="342"/>
      <c r="H33" s="342"/>
      <c r="I33" s="343"/>
      <c r="J33" s="375">
        <v>292</v>
      </c>
      <c r="K33" s="376"/>
      <c r="L33" s="116"/>
      <c r="M33" s="116"/>
      <c r="N33" s="116"/>
      <c r="O33" s="117"/>
      <c r="P33" s="189"/>
    </row>
    <row r="34" spans="1:37" ht="14.1" customHeight="1" x14ac:dyDescent="0.25">
      <c r="A34" s="85"/>
      <c r="B34" s="39"/>
      <c r="C34" s="39"/>
      <c r="D34" s="378" t="s">
        <v>33</v>
      </c>
      <c r="E34" s="378"/>
      <c r="F34" s="378"/>
      <c r="G34" s="378"/>
      <c r="H34" s="378"/>
      <c r="I34" s="378"/>
      <c r="J34" s="359">
        <f>SUM(J32:K33)</f>
        <v>1106</v>
      </c>
      <c r="K34" s="360"/>
      <c r="L34" s="116"/>
      <c r="M34" s="116"/>
      <c r="N34" s="116"/>
      <c r="O34" s="117"/>
      <c r="P34" s="189"/>
    </row>
    <row r="35" spans="1:37" ht="8.1" customHeight="1" x14ac:dyDescent="0.25">
      <c r="A35" s="85"/>
      <c r="B35" s="39"/>
      <c r="C35" s="39"/>
      <c r="D35" s="39"/>
      <c r="E35" s="115"/>
      <c r="F35" s="116"/>
      <c r="G35" s="116"/>
      <c r="H35" s="116"/>
      <c r="I35" s="116"/>
      <c r="J35" s="116"/>
      <c r="K35" s="116"/>
      <c r="L35" s="116"/>
      <c r="M35" s="116"/>
      <c r="N35" s="116"/>
      <c r="O35" s="117"/>
      <c r="P35" s="189"/>
    </row>
    <row r="36" spans="1:37" ht="15.75" customHeight="1" x14ac:dyDescent="0.25">
      <c r="A36" s="85"/>
      <c r="B36" s="39"/>
      <c r="C36" s="379" t="s">
        <v>64</v>
      </c>
      <c r="D36" s="379"/>
      <c r="E36" s="379"/>
      <c r="F36" s="379"/>
      <c r="G36" s="379"/>
      <c r="H36" s="116"/>
      <c r="I36" s="116"/>
      <c r="J36" s="116"/>
      <c r="K36" s="116"/>
      <c r="L36" s="116"/>
      <c r="M36" s="116"/>
      <c r="N36" s="116"/>
      <c r="O36" s="117"/>
      <c r="P36" s="189"/>
    </row>
    <row r="37" spans="1:37" ht="14.1" customHeight="1" x14ac:dyDescent="0.25">
      <c r="A37" s="85"/>
      <c r="B37" s="39"/>
      <c r="C37" s="39"/>
      <c r="D37" s="347" t="s">
        <v>35</v>
      </c>
      <c r="E37" s="348"/>
      <c r="F37" s="348"/>
      <c r="G37" s="348"/>
      <c r="H37" s="348"/>
      <c r="I37" s="348"/>
      <c r="J37" s="299">
        <v>856</v>
      </c>
      <c r="K37" s="300"/>
      <c r="L37" s="116"/>
      <c r="M37" s="116"/>
      <c r="N37" s="116"/>
      <c r="O37" s="117"/>
      <c r="P37" s="189"/>
    </row>
    <row r="38" spans="1:37" s="1" customFormat="1" ht="14.1" customHeight="1" x14ac:dyDescent="0.3">
      <c r="A38" s="118"/>
      <c r="B38" s="119"/>
      <c r="C38" s="119"/>
      <c r="D38" s="341" t="s">
        <v>36</v>
      </c>
      <c r="E38" s="342"/>
      <c r="F38" s="342"/>
      <c r="G38" s="342"/>
      <c r="H38" s="342"/>
      <c r="I38" s="342"/>
      <c r="J38" s="302">
        <v>179</v>
      </c>
      <c r="K38" s="303"/>
      <c r="L38" s="116"/>
      <c r="M38" s="116"/>
      <c r="N38" s="116"/>
      <c r="O38" s="117"/>
      <c r="P38" s="190"/>
      <c r="Q38" s="186"/>
      <c r="R38" s="186"/>
      <c r="S38" s="186"/>
      <c r="T38" s="186"/>
      <c r="U38" s="186"/>
      <c r="V38" s="186"/>
      <c r="W38" s="186"/>
      <c r="X38" s="186"/>
      <c r="Y38" s="186"/>
      <c r="Z38" s="186"/>
      <c r="AA38" s="186"/>
      <c r="AB38" s="186"/>
      <c r="AC38" s="186"/>
      <c r="AD38" s="186"/>
      <c r="AE38" s="186"/>
      <c r="AF38" s="186"/>
      <c r="AG38" s="186"/>
      <c r="AH38" s="186"/>
      <c r="AI38" s="186"/>
      <c r="AJ38" s="186"/>
      <c r="AK38" s="186"/>
    </row>
    <row r="39" spans="1:37" ht="14.1" customHeight="1" x14ac:dyDescent="0.25">
      <c r="A39" s="85"/>
      <c r="B39" s="142"/>
      <c r="C39" s="119"/>
      <c r="D39" s="347" t="s">
        <v>37</v>
      </c>
      <c r="E39" s="348"/>
      <c r="F39" s="348"/>
      <c r="G39" s="348"/>
      <c r="H39" s="348"/>
      <c r="I39" s="348"/>
      <c r="J39" s="299">
        <v>40</v>
      </c>
      <c r="K39" s="300"/>
      <c r="L39" s="116"/>
      <c r="M39" s="116"/>
      <c r="N39" s="116"/>
      <c r="O39" s="117"/>
      <c r="P39" s="189"/>
    </row>
    <row r="40" spans="1:37" ht="14.1" customHeight="1" x14ac:dyDescent="0.25">
      <c r="A40" s="85"/>
      <c r="B40" s="142"/>
      <c r="C40" s="119"/>
      <c r="D40" s="380" t="s">
        <v>38</v>
      </c>
      <c r="E40" s="381"/>
      <c r="F40" s="381"/>
      <c r="G40" s="381"/>
      <c r="H40" s="381"/>
      <c r="I40" s="381"/>
      <c r="J40" s="302">
        <v>14</v>
      </c>
      <c r="K40" s="303"/>
      <c r="L40" s="116"/>
      <c r="M40" s="116"/>
      <c r="N40" s="116"/>
      <c r="O40" s="117"/>
      <c r="P40" s="189"/>
    </row>
    <row r="41" spans="1:37" ht="14.1" customHeight="1" x14ac:dyDescent="0.25">
      <c r="A41" s="85"/>
      <c r="B41" s="142"/>
      <c r="C41" s="119"/>
      <c r="D41" s="347" t="s">
        <v>39</v>
      </c>
      <c r="E41" s="348"/>
      <c r="F41" s="348"/>
      <c r="G41" s="348"/>
      <c r="H41" s="348"/>
      <c r="I41" s="348"/>
      <c r="J41" s="299">
        <v>0</v>
      </c>
      <c r="K41" s="300"/>
      <c r="L41" s="116"/>
      <c r="M41" s="116"/>
      <c r="N41" s="116"/>
      <c r="O41" s="117"/>
      <c r="P41" s="189"/>
    </row>
    <row r="42" spans="1:37" s="1" customFormat="1" ht="14.1" customHeight="1" x14ac:dyDescent="0.25">
      <c r="A42" s="95"/>
      <c r="B42" s="142"/>
      <c r="C42" s="119"/>
      <c r="D42" s="341" t="s">
        <v>40</v>
      </c>
      <c r="E42" s="342"/>
      <c r="F42" s="342"/>
      <c r="G42" s="342"/>
      <c r="H42" s="342"/>
      <c r="I42" s="342"/>
      <c r="J42" s="302">
        <v>1</v>
      </c>
      <c r="K42" s="303"/>
      <c r="L42" s="116"/>
      <c r="M42" s="116"/>
      <c r="N42" s="116"/>
      <c r="O42" s="117"/>
      <c r="P42" s="190"/>
      <c r="Q42" s="186"/>
      <c r="R42" s="186"/>
      <c r="S42" s="186"/>
      <c r="T42" s="186"/>
      <c r="U42" s="186"/>
      <c r="V42" s="186"/>
      <c r="W42" s="186"/>
      <c r="X42" s="186"/>
      <c r="Y42" s="186"/>
      <c r="Z42" s="186"/>
      <c r="AA42" s="186"/>
      <c r="AB42" s="186"/>
      <c r="AC42" s="186"/>
      <c r="AD42" s="186"/>
      <c r="AE42" s="186"/>
      <c r="AF42" s="186"/>
      <c r="AG42" s="186"/>
      <c r="AH42" s="186"/>
      <c r="AI42" s="186"/>
      <c r="AJ42" s="186"/>
      <c r="AK42" s="186"/>
    </row>
    <row r="43" spans="1:37" ht="14.1" customHeight="1" x14ac:dyDescent="0.25">
      <c r="A43" s="85"/>
      <c r="B43" s="142"/>
      <c r="C43" s="119"/>
      <c r="D43" s="347" t="s">
        <v>41</v>
      </c>
      <c r="E43" s="348"/>
      <c r="F43" s="348"/>
      <c r="G43" s="348"/>
      <c r="H43" s="348"/>
      <c r="I43" s="348"/>
      <c r="J43" s="299">
        <v>16</v>
      </c>
      <c r="K43" s="300"/>
      <c r="L43" s="116"/>
      <c r="M43" s="116"/>
      <c r="N43" s="116"/>
      <c r="O43" s="117"/>
      <c r="P43" s="189"/>
    </row>
    <row r="44" spans="1:37" ht="14.1" customHeight="1" x14ac:dyDescent="0.25">
      <c r="A44" s="85"/>
      <c r="B44" s="119"/>
      <c r="C44" s="119"/>
      <c r="D44" s="382" t="s">
        <v>33</v>
      </c>
      <c r="E44" s="383"/>
      <c r="F44" s="383"/>
      <c r="G44" s="383"/>
      <c r="H44" s="383"/>
      <c r="I44" s="383"/>
      <c r="J44" s="309">
        <f>SUM(J37:K43)</f>
        <v>1106</v>
      </c>
      <c r="K44" s="310"/>
      <c r="L44" s="116"/>
      <c r="M44" s="116"/>
      <c r="N44" s="116"/>
      <c r="O44" s="117"/>
      <c r="P44" s="189"/>
    </row>
    <row r="45" spans="1:37" ht="6.75" customHeight="1" x14ac:dyDescent="0.25">
      <c r="A45" s="52"/>
      <c r="B45" s="133"/>
      <c r="C45" s="144"/>
      <c r="D45" s="144"/>
      <c r="E45" s="145"/>
      <c r="F45" s="145"/>
      <c r="G45" s="166"/>
      <c r="H45" s="166"/>
      <c r="I45" s="166"/>
      <c r="J45" s="166"/>
      <c r="K45" s="166"/>
      <c r="L45" s="166"/>
      <c r="M45" s="166"/>
      <c r="N45" s="166"/>
      <c r="O45" s="167"/>
      <c r="P45" s="189"/>
    </row>
    <row r="46" spans="1:37" ht="8.1" customHeight="1" x14ac:dyDescent="0.25">
      <c r="A46" s="39"/>
      <c r="B46" s="119"/>
      <c r="C46" s="142"/>
      <c r="D46" s="142"/>
      <c r="E46" s="143"/>
      <c r="F46" s="143"/>
      <c r="G46" s="116"/>
      <c r="H46" s="116"/>
      <c r="I46" s="116"/>
      <c r="J46" s="116"/>
      <c r="K46" s="116"/>
      <c r="L46" s="116"/>
      <c r="M46" s="116"/>
      <c r="N46" s="116"/>
      <c r="O46" s="116"/>
      <c r="P46" s="189"/>
    </row>
    <row r="47" spans="1:37" ht="14.1" customHeight="1" x14ac:dyDescent="0.25">
      <c r="A47" s="174" t="s">
        <v>42</v>
      </c>
    </row>
    <row r="48" spans="1:37" ht="14.1" customHeight="1" x14ac:dyDescent="0.25">
      <c r="A48" s="316" t="s">
        <v>958</v>
      </c>
      <c r="B48" s="317"/>
      <c r="C48" s="317"/>
      <c r="D48" s="317"/>
      <c r="E48" s="317"/>
      <c r="F48" s="317"/>
      <c r="G48" s="317"/>
      <c r="H48" s="317"/>
      <c r="I48" s="317"/>
      <c r="J48" s="317"/>
      <c r="K48" s="317"/>
      <c r="L48" s="317"/>
      <c r="M48" s="317"/>
      <c r="N48" s="317"/>
      <c r="O48" s="318"/>
    </row>
    <row r="49" spans="1:37" ht="14.1" customHeight="1" x14ac:dyDescent="0.25">
      <c r="A49" s="319"/>
      <c r="B49" s="320"/>
      <c r="C49" s="320"/>
      <c r="D49" s="320"/>
      <c r="E49" s="320"/>
      <c r="F49" s="320"/>
      <c r="G49" s="320"/>
      <c r="H49" s="320"/>
      <c r="I49" s="320"/>
      <c r="J49" s="320"/>
      <c r="K49" s="320"/>
      <c r="L49" s="320"/>
      <c r="M49" s="320"/>
      <c r="N49" s="320"/>
      <c r="O49" s="321"/>
    </row>
    <row r="50" spans="1:37" ht="14.1" customHeight="1" x14ac:dyDescent="0.25">
      <c r="A50" s="319"/>
      <c r="B50" s="320"/>
      <c r="C50" s="320"/>
      <c r="D50" s="320"/>
      <c r="E50" s="320"/>
      <c r="F50" s="320"/>
      <c r="G50" s="320"/>
      <c r="H50" s="320"/>
      <c r="I50" s="320"/>
      <c r="J50" s="320"/>
      <c r="K50" s="320"/>
      <c r="L50" s="320"/>
      <c r="M50" s="320"/>
      <c r="N50" s="320"/>
      <c r="O50" s="321"/>
    </row>
    <row r="51" spans="1:37" ht="14.1" customHeight="1" x14ac:dyDescent="0.25">
      <c r="A51" s="319"/>
      <c r="B51" s="320"/>
      <c r="C51" s="320"/>
      <c r="D51" s="320"/>
      <c r="E51" s="320"/>
      <c r="F51" s="320"/>
      <c r="G51" s="320"/>
      <c r="H51" s="320"/>
      <c r="I51" s="320"/>
      <c r="J51" s="320"/>
      <c r="K51" s="320"/>
      <c r="L51" s="320"/>
      <c r="M51" s="320"/>
      <c r="N51" s="320"/>
      <c r="O51" s="321"/>
    </row>
    <row r="52" spans="1:37" ht="7.5" customHeight="1" x14ac:dyDescent="0.25">
      <c r="A52" s="319"/>
      <c r="B52" s="320"/>
      <c r="C52" s="320"/>
      <c r="D52" s="320"/>
      <c r="E52" s="320"/>
      <c r="F52" s="320"/>
      <c r="G52" s="320"/>
      <c r="H52" s="320"/>
      <c r="I52" s="320"/>
      <c r="J52" s="320"/>
      <c r="K52" s="320"/>
      <c r="L52" s="320"/>
      <c r="M52" s="320"/>
      <c r="N52" s="320"/>
      <c r="O52" s="321"/>
    </row>
    <row r="53" spans="1:37" ht="7.5" customHeight="1" x14ac:dyDescent="0.25">
      <c r="A53" s="319"/>
      <c r="B53" s="320"/>
      <c r="C53" s="320"/>
      <c r="D53" s="320"/>
      <c r="E53" s="320"/>
      <c r="F53" s="320"/>
      <c r="G53" s="320"/>
      <c r="H53" s="320"/>
      <c r="I53" s="320"/>
      <c r="J53" s="320"/>
      <c r="K53" s="320"/>
      <c r="L53" s="320"/>
      <c r="M53" s="320"/>
      <c r="N53" s="320"/>
      <c r="O53" s="321"/>
    </row>
    <row r="54" spans="1:37" ht="7.5" customHeight="1" x14ac:dyDescent="0.25">
      <c r="A54" s="322"/>
      <c r="B54" s="323"/>
      <c r="C54" s="323"/>
      <c r="D54" s="323"/>
      <c r="E54" s="323"/>
      <c r="F54" s="323"/>
      <c r="G54" s="323"/>
      <c r="H54" s="323"/>
      <c r="I54" s="323"/>
      <c r="J54" s="323"/>
      <c r="K54" s="323"/>
      <c r="L54" s="323"/>
      <c r="M54" s="323"/>
      <c r="N54" s="323"/>
      <c r="O54" s="324"/>
    </row>
    <row r="55" spans="1:37" ht="7.5" customHeight="1" x14ac:dyDescent="0.25">
      <c r="A55" s="191"/>
      <c r="B55" s="191"/>
      <c r="C55" s="191"/>
      <c r="D55" s="191"/>
      <c r="E55" s="191"/>
      <c r="F55" s="191"/>
      <c r="G55" s="191"/>
      <c r="H55" s="191"/>
      <c r="I55" s="191"/>
      <c r="J55" s="191"/>
      <c r="K55" s="191"/>
      <c r="L55" s="191"/>
      <c r="M55" s="191"/>
      <c r="N55" s="191"/>
      <c r="O55" s="191"/>
    </row>
    <row r="56" spans="1:37" s="181" customFormat="1" ht="18.600000000000001" customHeight="1" x14ac:dyDescent="0.3">
      <c r="A56" s="175" t="s">
        <v>65</v>
      </c>
      <c r="B56" s="176"/>
      <c r="C56" s="176"/>
      <c r="D56" s="176"/>
      <c r="E56" s="176"/>
      <c r="F56" s="177"/>
      <c r="G56" s="176"/>
      <c r="H56" s="176"/>
      <c r="I56" s="176"/>
      <c r="J56" s="176"/>
      <c r="K56" s="178"/>
      <c r="L56" s="179"/>
      <c r="M56" s="179"/>
      <c r="N56" s="180"/>
      <c r="O56" s="180"/>
      <c r="P56" s="192"/>
      <c r="Q56" s="192"/>
      <c r="R56" s="192"/>
      <c r="S56" s="192"/>
      <c r="T56" s="192"/>
      <c r="U56" s="192"/>
      <c r="V56" s="192"/>
      <c r="W56" s="192"/>
      <c r="X56" s="192"/>
      <c r="Y56" s="192"/>
      <c r="Z56" s="192"/>
      <c r="AA56" s="192"/>
      <c r="AB56" s="192"/>
      <c r="AC56" s="192"/>
      <c r="AD56" s="192"/>
      <c r="AE56" s="192"/>
      <c r="AF56" s="192"/>
      <c r="AG56" s="192"/>
      <c r="AH56" s="192"/>
      <c r="AI56" s="192"/>
      <c r="AJ56" s="192"/>
      <c r="AK56" s="192"/>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5" activePane="bottomLeft" state="frozen"/>
      <selection pane="bottomLeft" activeCell="G26" sqref="G26:H26"/>
    </sheetView>
  </sheetViews>
  <sheetFormatPr defaultRowHeight="13.2" x14ac:dyDescent="0.25"/>
  <cols>
    <col min="1" max="1" width="10.109375" style="33" customWidth="1"/>
    <col min="2" max="8" width="8.88671875" style="33"/>
    <col min="9" max="9" width="11" style="33" customWidth="1"/>
    <col min="10" max="21" width="8.88671875" style="33"/>
  </cols>
  <sheetData>
    <row r="1" spans="1:21" ht="15.6" x14ac:dyDescent="0.25">
      <c r="A1" s="396" t="s">
        <v>23</v>
      </c>
      <c r="B1" s="397"/>
      <c r="C1" s="397"/>
      <c r="D1" s="397"/>
      <c r="E1" s="397"/>
      <c r="F1" s="397"/>
      <c r="G1" s="286" t="str">
        <f>'CONTACT INFORMATION'!$A$24</f>
        <v>Ventura</v>
      </c>
      <c r="H1" s="286"/>
      <c r="I1" s="287"/>
    </row>
    <row r="2" spans="1:21" s="1" customFormat="1" ht="14.1" customHeight="1" x14ac:dyDescent="0.25">
      <c r="A2" s="156"/>
      <c r="B2" s="156"/>
      <c r="C2" s="156"/>
      <c r="D2" s="156"/>
      <c r="E2" s="156"/>
      <c r="F2" s="156"/>
      <c r="G2" s="157"/>
      <c r="H2" s="157"/>
      <c r="I2" s="157"/>
      <c r="J2" s="186"/>
      <c r="K2" s="186"/>
      <c r="L2" s="186"/>
      <c r="M2" s="186"/>
      <c r="N2" s="186"/>
      <c r="O2" s="186"/>
      <c r="P2" s="186"/>
      <c r="Q2" s="186"/>
      <c r="R2" s="186"/>
      <c r="S2" s="186"/>
      <c r="T2" s="186"/>
      <c r="U2" s="186"/>
    </row>
    <row r="3" spans="1:21" s="158" customFormat="1" ht="13.8" x14ac:dyDescent="0.25">
      <c r="A3" s="367" t="s">
        <v>66</v>
      </c>
      <c r="B3" s="368"/>
      <c r="C3" s="368"/>
      <c r="D3" s="368"/>
      <c r="E3" s="368"/>
      <c r="F3" s="368"/>
      <c r="G3" s="368"/>
      <c r="H3" s="368"/>
      <c r="I3" s="369"/>
      <c r="J3" s="193"/>
      <c r="K3" s="193"/>
      <c r="L3" s="193"/>
      <c r="M3" s="193"/>
      <c r="N3" s="193"/>
      <c r="O3" s="193"/>
      <c r="P3" s="193"/>
      <c r="Q3" s="193"/>
      <c r="R3" s="193"/>
      <c r="S3" s="193"/>
      <c r="T3" s="193"/>
      <c r="U3" s="193"/>
    </row>
    <row r="4" spans="1:21" s="158" customFormat="1" ht="13.8" x14ac:dyDescent="0.25">
      <c r="A4" s="386" t="s">
        <v>67</v>
      </c>
      <c r="B4" s="387"/>
      <c r="C4" s="387"/>
      <c r="D4" s="387"/>
      <c r="E4" s="387"/>
      <c r="F4" s="387"/>
      <c r="G4" s="387"/>
      <c r="H4" s="387"/>
      <c r="I4" s="388"/>
      <c r="J4" s="193"/>
      <c r="K4" s="193"/>
      <c r="L4" s="193"/>
      <c r="M4" s="193"/>
      <c r="N4" s="193"/>
      <c r="O4" s="193"/>
      <c r="P4" s="193"/>
      <c r="Q4" s="193"/>
      <c r="R4" s="193"/>
      <c r="S4" s="193"/>
      <c r="T4" s="193"/>
      <c r="U4" s="193"/>
    </row>
    <row r="5" spans="1:21" s="184" customFormat="1" ht="21" customHeight="1" x14ac:dyDescent="0.25">
      <c r="A5" s="390" t="s">
        <v>68</v>
      </c>
      <c r="B5" s="391"/>
      <c r="C5" s="391"/>
      <c r="D5" s="391"/>
      <c r="E5" s="391"/>
      <c r="F5" s="391"/>
      <c r="G5" s="391"/>
      <c r="H5" s="391"/>
      <c r="I5" s="392"/>
      <c r="J5" s="194"/>
      <c r="K5" s="194"/>
      <c r="L5" s="194"/>
      <c r="M5" s="194"/>
      <c r="N5" s="194"/>
      <c r="O5" s="194"/>
      <c r="P5" s="194"/>
      <c r="Q5" s="194"/>
      <c r="R5" s="194"/>
      <c r="S5" s="194"/>
      <c r="T5" s="194"/>
      <c r="U5" s="194"/>
    </row>
    <row r="6" spans="1:21" s="4" customFormat="1" ht="13.8" x14ac:dyDescent="0.25">
      <c r="A6" s="206"/>
      <c r="B6" s="202"/>
      <c r="C6" s="149"/>
      <c r="D6" s="149"/>
      <c r="E6" s="149"/>
      <c r="F6" s="149"/>
      <c r="G6" s="165"/>
      <c r="H6" s="165"/>
      <c r="I6" s="168"/>
      <c r="J6" s="39"/>
      <c r="K6" s="39"/>
      <c r="L6" s="39"/>
      <c r="M6" s="39"/>
      <c r="N6" s="39"/>
      <c r="O6" s="39"/>
      <c r="P6" s="39"/>
      <c r="Q6" s="39"/>
      <c r="R6" s="39"/>
      <c r="S6" s="39"/>
      <c r="T6" s="39"/>
      <c r="U6" s="39"/>
    </row>
    <row r="7" spans="1:21" s="4" customFormat="1" ht="13.8" x14ac:dyDescent="0.25">
      <c r="A7" s="206"/>
      <c r="B7" s="202"/>
      <c r="C7" s="149"/>
      <c r="D7" s="149"/>
      <c r="E7" s="149"/>
      <c r="F7" s="149"/>
      <c r="G7" s="165"/>
      <c r="H7" s="165"/>
      <c r="I7" s="168"/>
      <c r="J7" s="39"/>
      <c r="K7" s="39"/>
      <c r="L7" s="39"/>
      <c r="M7" s="39"/>
      <c r="N7" s="39"/>
      <c r="O7" s="39"/>
      <c r="P7" s="39"/>
      <c r="Q7" s="39"/>
      <c r="R7" s="39"/>
      <c r="S7" s="39"/>
      <c r="T7" s="39"/>
      <c r="U7" s="39"/>
    </row>
    <row r="8" spans="1:21" ht="13.8" x14ac:dyDescent="0.25">
      <c r="A8" s="206"/>
      <c r="B8" s="394" t="s">
        <v>69</v>
      </c>
      <c r="C8" s="394"/>
      <c r="D8" s="169"/>
      <c r="E8" s="395"/>
      <c r="F8" s="395"/>
      <c r="G8" s="395"/>
      <c r="H8" s="165"/>
      <c r="I8" s="168"/>
    </row>
    <row r="9" spans="1:21" ht="13.8" x14ac:dyDescent="0.25">
      <c r="A9" s="206"/>
      <c r="B9" s="218"/>
      <c r="C9" s="393" t="s">
        <v>70</v>
      </c>
      <c r="D9" s="393"/>
      <c r="E9" s="393"/>
      <c r="F9" s="393"/>
      <c r="G9" s="326">
        <v>477</v>
      </c>
      <c r="H9" s="326"/>
      <c r="I9" s="168"/>
    </row>
    <row r="10" spans="1:21" ht="13.8" x14ac:dyDescent="0.25">
      <c r="A10" s="206"/>
      <c r="B10" s="218"/>
      <c r="C10" s="401" t="s">
        <v>71</v>
      </c>
      <c r="D10" s="401"/>
      <c r="E10" s="401"/>
      <c r="F10" s="401"/>
      <c r="G10" s="389">
        <v>1235</v>
      </c>
      <c r="H10" s="389"/>
      <c r="I10" s="168"/>
    </row>
    <row r="11" spans="1:21" ht="13.8" x14ac:dyDescent="0.25">
      <c r="A11" s="206"/>
      <c r="B11" s="218"/>
      <c r="C11" s="393" t="s">
        <v>72</v>
      </c>
      <c r="D11" s="393"/>
      <c r="E11" s="393"/>
      <c r="F11" s="393"/>
      <c r="G11" s="326">
        <v>550</v>
      </c>
      <c r="H11" s="326"/>
      <c r="I11" s="168"/>
    </row>
    <row r="12" spans="1:21" ht="14.4" x14ac:dyDescent="0.3">
      <c r="A12" s="206"/>
      <c r="B12" s="202"/>
      <c r="C12" s="304" t="s">
        <v>33</v>
      </c>
      <c r="D12" s="304"/>
      <c r="E12" s="304"/>
      <c r="F12" s="304"/>
      <c r="G12" s="398">
        <f>SUM(G9:H11)</f>
        <v>2262</v>
      </c>
      <c r="H12" s="398"/>
      <c r="I12" s="168"/>
    </row>
    <row r="13" spans="1:21" ht="13.8" x14ac:dyDescent="0.25">
      <c r="A13" s="206"/>
      <c r="B13" s="202"/>
      <c r="C13" s="149"/>
      <c r="D13" s="149"/>
      <c r="E13" s="149"/>
      <c r="F13" s="149"/>
      <c r="G13" s="165"/>
      <c r="H13" s="165"/>
      <c r="I13" s="168"/>
    </row>
    <row r="14" spans="1:21" ht="13.8" x14ac:dyDescent="0.25">
      <c r="A14" s="85"/>
      <c r="B14" s="39"/>
      <c r="C14" s="126"/>
      <c r="D14" s="126"/>
      <c r="E14" s="126"/>
      <c r="F14" s="126"/>
      <c r="G14" s="90"/>
      <c r="H14" s="90"/>
      <c r="I14" s="91"/>
    </row>
    <row r="15" spans="1:21" ht="13.8" x14ac:dyDescent="0.25">
      <c r="A15" s="154"/>
      <c r="B15" s="399" t="s">
        <v>30</v>
      </c>
      <c r="C15" s="399"/>
      <c r="D15" s="399"/>
      <c r="E15" s="399"/>
      <c r="F15" s="399"/>
      <c r="G15" s="399"/>
      <c r="H15" s="399"/>
      <c r="I15" s="400"/>
    </row>
    <row r="16" spans="1:21" ht="13.8" x14ac:dyDescent="0.25">
      <c r="A16" s="95"/>
      <c r="B16" s="119"/>
      <c r="C16" s="298" t="s">
        <v>31</v>
      </c>
      <c r="D16" s="298"/>
      <c r="E16" s="298"/>
      <c r="F16" s="298"/>
      <c r="G16" s="326">
        <v>1383</v>
      </c>
      <c r="H16" s="326"/>
      <c r="I16" s="91"/>
    </row>
    <row r="17" spans="1:9" ht="13.8" x14ac:dyDescent="0.25">
      <c r="A17" s="95"/>
      <c r="B17" s="119"/>
      <c r="C17" s="308" t="s">
        <v>32</v>
      </c>
      <c r="D17" s="308"/>
      <c r="E17" s="308"/>
      <c r="F17" s="308"/>
      <c r="G17" s="389">
        <v>879</v>
      </c>
      <c r="H17" s="389"/>
      <c r="I17" s="91"/>
    </row>
    <row r="18" spans="1:9" ht="14.4" x14ac:dyDescent="0.3">
      <c r="A18" s="95"/>
      <c r="B18" s="119"/>
      <c r="C18" s="304" t="s">
        <v>33</v>
      </c>
      <c r="D18" s="304"/>
      <c r="E18" s="304"/>
      <c r="F18" s="304"/>
      <c r="G18" s="384">
        <f>SUM(G16:H17)</f>
        <v>2262</v>
      </c>
      <c r="H18" s="384"/>
      <c r="I18" s="91"/>
    </row>
    <row r="19" spans="1:9" ht="14.4" x14ac:dyDescent="0.3">
      <c r="A19" s="95"/>
      <c r="B19" s="119"/>
      <c r="C19" s="153"/>
      <c r="D19" s="153"/>
      <c r="E19" s="153"/>
      <c r="F19" s="153"/>
      <c r="G19" s="116"/>
      <c r="H19" s="116"/>
      <c r="I19" s="91"/>
    </row>
    <row r="20" spans="1:9" x14ac:dyDescent="0.25">
      <c r="A20" s="85"/>
      <c r="B20" s="39"/>
      <c r="C20" s="90"/>
      <c r="D20" s="90"/>
      <c r="E20" s="90"/>
      <c r="F20" s="90"/>
      <c r="G20" s="90"/>
      <c r="H20" s="90"/>
      <c r="I20" s="91"/>
    </row>
    <row r="21" spans="1:9" ht="13.8" x14ac:dyDescent="0.25">
      <c r="A21" s="154"/>
      <c r="B21" s="216" t="s">
        <v>34</v>
      </c>
      <c r="C21" s="216"/>
      <c r="D21" s="216"/>
      <c r="E21" s="216"/>
      <c r="F21" s="216"/>
      <c r="G21" s="216"/>
      <c r="H21" s="216"/>
      <c r="I21" s="155"/>
    </row>
    <row r="22" spans="1:9" ht="13.8" x14ac:dyDescent="0.25">
      <c r="A22" s="95"/>
      <c r="B22" s="119"/>
      <c r="C22" s="298" t="s">
        <v>37</v>
      </c>
      <c r="D22" s="298"/>
      <c r="E22" s="298"/>
      <c r="F22" s="298"/>
      <c r="G22" s="326">
        <v>136</v>
      </c>
      <c r="H22" s="326"/>
      <c r="I22" s="91"/>
    </row>
    <row r="23" spans="1:9" ht="13.8" x14ac:dyDescent="0.25">
      <c r="A23" s="95"/>
      <c r="B23" s="119"/>
      <c r="C23" s="308" t="s">
        <v>36</v>
      </c>
      <c r="D23" s="308"/>
      <c r="E23" s="308"/>
      <c r="F23" s="308"/>
      <c r="G23" s="385">
        <v>455</v>
      </c>
      <c r="H23" s="385"/>
      <c r="I23" s="91"/>
    </row>
    <row r="24" spans="1:9" ht="13.8" x14ac:dyDescent="0.25">
      <c r="A24" s="95"/>
      <c r="B24" s="119"/>
      <c r="C24" s="298" t="s">
        <v>35</v>
      </c>
      <c r="D24" s="298"/>
      <c r="E24" s="298"/>
      <c r="F24" s="298"/>
      <c r="G24" s="326">
        <v>1626</v>
      </c>
      <c r="H24" s="326"/>
      <c r="I24" s="91"/>
    </row>
    <row r="25" spans="1:9" ht="13.8" x14ac:dyDescent="0.25">
      <c r="A25" s="95"/>
      <c r="B25" s="119"/>
      <c r="C25" s="301" t="s">
        <v>59</v>
      </c>
      <c r="D25" s="301"/>
      <c r="E25" s="301"/>
      <c r="F25" s="301"/>
      <c r="G25" s="389">
        <v>45</v>
      </c>
      <c r="H25" s="389"/>
      <c r="I25" s="91"/>
    </row>
    <row r="26" spans="1:9" ht="14.4" x14ac:dyDescent="0.3">
      <c r="A26" s="95"/>
      <c r="B26" s="119"/>
      <c r="C26" s="304" t="s">
        <v>33</v>
      </c>
      <c r="D26" s="304"/>
      <c r="E26" s="304"/>
      <c r="F26" s="304"/>
      <c r="G26" s="384">
        <f>SUM(G22:H25)</f>
        <v>2262</v>
      </c>
      <c r="H26" s="384"/>
      <c r="I26" s="129"/>
    </row>
    <row r="27" spans="1:9" x14ac:dyDescent="0.25">
      <c r="A27" s="95"/>
      <c r="B27" s="119"/>
      <c r="C27" s="119"/>
      <c r="D27" s="130"/>
      <c r="E27" s="130"/>
      <c r="F27" s="130"/>
      <c r="G27" s="130"/>
      <c r="H27" s="130"/>
      <c r="I27" s="131"/>
    </row>
    <row r="28" spans="1:9" x14ac:dyDescent="0.25">
      <c r="A28" s="95"/>
      <c r="B28" s="119"/>
      <c r="C28" s="119"/>
      <c r="D28" s="130"/>
      <c r="E28" s="130"/>
      <c r="F28" s="130"/>
      <c r="G28" s="130"/>
      <c r="H28" s="130"/>
      <c r="I28" s="131"/>
    </row>
    <row r="29" spans="1:9" x14ac:dyDescent="0.25">
      <c r="A29" s="96"/>
      <c r="B29" s="133"/>
      <c r="C29" s="133"/>
      <c r="D29" s="134"/>
      <c r="E29" s="134"/>
      <c r="F29" s="134"/>
      <c r="G29" s="134"/>
      <c r="H29" s="134"/>
      <c r="I29" s="135"/>
    </row>
    <row r="30" spans="1:9" x14ac:dyDescent="0.25">
      <c r="A30" s="119"/>
      <c r="B30" s="119"/>
      <c r="C30" s="119"/>
      <c r="D30" s="130"/>
      <c r="E30" s="130"/>
      <c r="F30" s="130"/>
      <c r="G30" s="130"/>
      <c r="H30" s="130"/>
      <c r="I30" s="130"/>
    </row>
    <row r="31" spans="1:9" ht="14.4" customHeight="1" x14ac:dyDescent="0.25"/>
    <row r="32" spans="1:9" ht="14.1" customHeight="1" x14ac:dyDescent="0.25">
      <c r="A32" s="174" t="s">
        <v>42</v>
      </c>
    </row>
    <row r="33" spans="1:9" x14ac:dyDescent="0.25">
      <c r="A33" s="316"/>
      <c r="B33" s="317"/>
      <c r="C33" s="317"/>
      <c r="D33" s="317"/>
      <c r="E33" s="317"/>
      <c r="F33" s="317"/>
      <c r="G33" s="317"/>
      <c r="H33" s="317"/>
      <c r="I33" s="318"/>
    </row>
    <row r="34" spans="1:9" x14ac:dyDescent="0.25">
      <c r="A34" s="319"/>
      <c r="B34" s="320"/>
      <c r="C34" s="320"/>
      <c r="D34" s="320"/>
      <c r="E34" s="320"/>
      <c r="F34" s="320"/>
      <c r="G34" s="320"/>
      <c r="H34" s="320"/>
      <c r="I34" s="321"/>
    </row>
    <row r="35" spans="1:9" x14ac:dyDescent="0.25">
      <c r="A35" s="319"/>
      <c r="B35" s="320"/>
      <c r="C35" s="320"/>
      <c r="D35" s="320"/>
      <c r="E35" s="320"/>
      <c r="F35" s="320"/>
      <c r="G35" s="320"/>
      <c r="H35" s="320"/>
      <c r="I35" s="321"/>
    </row>
    <row r="36" spans="1:9" x14ac:dyDescent="0.25">
      <c r="A36" s="319"/>
      <c r="B36" s="320"/>
      <c r="C36" s="320"/>
      <c r="D36" s="320"/>
      <c r="E36" s="320"/>
      <c r="F36" s="320"/>
      <c r="G36" s="320"/>
      <c r="H36" s="320"/>
      <c r="I36" s="321"/>
    </row>
    <row r="37" spans="1:9" x14ac:dyDescent="0.25">
      <c r="A37" s="319"/>
      <c r="B37" s="320"/>
      <c r="C37" s="320"/>
      <c r="D37" s="320"/>
      <c r="E37" s="320"/>
      <c r="F37" s="320"/>
      <c r="G37" s="320"/>
      <c r="H37" s="320"/>
      <c r="I37" s="321"/>
    </row>
    <row r="38" spans="1:9" x14ac:dyDescent="0.25">
      <c r="A38" s="319"/>
      <c r="B38" s="320"/>
      <c r="C38" s="320"/>
      <c r="D38" s="320"/>
      <c r="E38" s="320"/>
      <c r="F38" s="320"/>
      <c r="G38" s="320"/>
      <c r="H38" s="320"/>
      <c r="I38" s="321"/>
    </row>
    <row r="39" spans="1:9" x14ac:dyDescent="0.25">
      <c r="A39" s="319"/>
      <c r="B39" s="320"/>
      <c r="C39" s="320"/>
      <c r="D39" s="320"/>
      <c r="E39" s="320"/>
      <c r="F39" s="320"/>
      <c r="G39" s="320"/>
      <c r="H39" s="320"/>
      <c r="I39" s="321"/>
    </row>
    <row r="40" spans="1:9" x14ac:dyDescent="0.25">
      <c r="A40" s="319"/>
      <c r="B40" s="320"/>
      <c r="C40" s="320"/>
      <c r="D40" s="320"/>
      <c r="E40" s="320"/>
      <c r="F40" s="320"/>
      <c r="G40" s="320"/>
      <c r="H40" s="320"/>
      <c r="I40" s="321"/>
    </row>
    <row r="41" spans="1:9" x14ac:dyDescent="0.25">
      <c r="A41" s="319"/>
      <c r="B41" s="320"/>
      <c r="C41" s="320"/>
      <c r="D41" s="320"/>
      <c r="E41" s="320"/>
      <c r="F41" s="320"/>
      <c r="G41" s="320"/>
      <c r="H41" s="320"/>
      <c r="I41" s="321"/>
    </row>
    <row r="42" spans="1:9" x14ac:dyDescent="0.25">
      <c r="A42" s="319"/>
      <c r="B42" s="320"/>
      <c r="C42" s="320"/>
      <c r="D42" s="320"/>
      <c r="E42" s="320"/>
      <c r="F42" s="320"/>
      <c r="G42" s="320"/>
      <c r="H42" s="320"/>
      <c r="I42" s="321"/>
    </row>
    <row r="43" spans="1:9" x14ac:dyDescent="0.25">
      <c r="A43" s="319"/>
      <c r="B43" s="320"/>
      <c r="C43" s="320"/>
      <c r="D43" s="320"/>
      <c r="E43" s="320"/>
      <c r="F43" s="320"/>
      <c r="G43" s="320"/>
      <c r="H43" s="320"/>
      <c r="I43" s="321"/>
    </row>
    <row r="44" spans="1:9" x14ac:dyDescent="0.25">
      <c r="A44" s="319"/>
      <c r="B44" s="320"/>
      <c r="C44" s="320"/>
      <c r="D44" s="320"/>
      <c r="E44" s="320"/>
      <c r="F44" s="320"/>
      <c r="G44" s="320"/>
      <c r="H44" s="320"/>
      <c r="I44" s="321"/>
    </row>
    <row r="45" spans="1:9" x14ac:dyDescent="0.25">
      <c r="A45" s="319"/>
      <c r="B45" s="320"/>
      <c r="C45" s="320"/>
      <c r="D45" s="320"/>
      <c r="E45" s="320"/>
      <c r="F45" s="320"/>
      <c r="G45" s="320"/>
      <c r="H45" s="320"/>
      <c r="I45" s="321"/>
    </row>
    <row r="46" spans="1:9" x14ac:dyDescent="0.25">
      <c r="A46" s="319"/>
      <c r="B46" s="320"/>
      <c r="C46" s="320"/>
      <c r="D46" s="320"/>
      <c r="E46" s="320"/>
      <c r="F46" s="320"/>
      <c r="G46" s="320"/>
      <c r="H46" s="320"/>
      <c r="I46" s="321"/>
    </row>
    <row r="47" spans="1:9" x14ac:dyDescent="0.25">
      <c r="A47" s="319"/>
      <c r="B47" s="320"/>
      <c r="C47" s="320"/>
      <c r="D47" s="320"/>
      <c r="E47" s="320"/>
      <c r="F47" s="320"/>
      <c r="G47" s="320"/>
      <c r="H47" s="320"/>
      <c r="I47" s="321"/>
    </row>
    <row r="48" spans="1:9" x14ac:dyDescent="0.25">
      <c r="A48" s="319"/>
      <c r="B48" s="320"/>
      <c r="C48" s="320"/>
      <c r="D48" s="320"/>
      <c r="E48" s="320"/>
      <c r="F48" s="320"/>
      <c r="G48" s="320"/>
      <c r="H48" s="320"/>
      <c r="I48" s="321"/>
    </row>
    <row r="49" spans="1:9" x14ac:dyDescent="0.25">
      <c r="A49" s="319"/>
      <c r="B49" s="320"/>
      <c r="C49" s="320"/>
      <c r="D49" s="320"/>
      <c r="E49" s="320"/>
      <c r="F49" s="320"/>
      <c r="G49" s="320"/>
      <c r="H49" s="320"/>
      <c r="I49" s="321"/>
    </row>
    <row r="50" spans="1:9" x14ac:dyDescent="0.25">
      <c r="A50" s="322"/>
      <c r="B50" s="323"/>
      <c r="C50" s="323"/>
      <c r="D50" s="323"/>
      <c r="E50" s="323"/>
      <c r="F50" s="323"/>
      <c r="G50" s="323"/>
      <c r="H50" s="323"/>
      <c r="I50" s="324"/>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7" zoomScaleNormal="100" workbookViewId="0">
      <selection activeCell="A8" sqref="A8:J56"/>
    </sheetView>
  </sheetViews>
  <sheetFormatPr defaultColWidth="9.109375" defaultRowHeight="13.2" x14ac:dyDescent="0.25"/>
  <cols>
    <col min="1" max="11" width="9.109375" style="39"/>
    <col min="12" max="16384" width="9.109375" style="33"/>
  </cols>
  <sheetData>
    <row r="1" spans="1:15" ht="15.6" x14ac:dyDescent="0.3">
      <c r="A1" s="372" t="s">
        <v>73</v>
      </c>
      <c r="B1" s="373"/>
      <c r="C1" s="373"/>
      <c r="D1" s="373"/>
      <c r="E1" s="373"/>
      <c r="F1" s="373"/>
      <c r="G1" s="373"/>
      <c r="H1" s="370" t="str">
        <f>'CONTACT INFORMATION'!$A$24</f>
        <v>Ventura</v>
      </c>
      <c r="I1" s="370"/>
      <c r="J1" s="371"/>
      <c r="K1" s="148"/>
      <c r="L1" s="174"/>
    </row>
    <row r="2" spans="1:15" ht="7.5" customHeight="1" x14ac:dyDescent="0.3">
      <c r="A2" s="51"/>
      <c r="B2" s="51"/>
      <c r="C2" s="51"/>
      <c r="D2" s="51"/>
      <c r="E2" s="51"/>
      <c r="F2" s="51"/>
      <c r="G2" s="51"/>
      <c r="H2" s="51"/>
      <c r="I2" s="51"/>
      <c r="J2" s="51"/>
      <c r="K2" s="197"/>
      <c r="L2" s="174"/>
    </row>
    <row r="3" spans="1:15" ht="13.8" x14ac:dyDescent="0.25">
      <c r="A3" s="411" t="s">
        <v>74</v>
      </c>
      <c r="B3" s="412"/>
      <c r="C3" s="412"/>
      <c r="D3" s="412"/>
      <c r="E3" s="412"/>
      <c r="F3" s="412"/>
      <c r="G3" s="412"/>
      <c r="H3" s="412"/>
      <c r="I3" s="412"/>
      <c r="J3" s="413"/>
    </row>
    <row r="4" spans="1:15" s="186" customFormat="1" ht="13.8" x14ac:dyDescent="0.25">
      <c r="A4" s="198"/>
      <c r="B4" s="170"/>
      <c r="C4" s="170"/>
      <c r="D4" s="170"/>
      <c r="E4" s="170"/>
      <c r="F4" s="170"/>
      <c r="G4" s="170"/>
      <c r="H4" s="170"/>
      <c r="I4" s="170"/>
      <c r="J4" s="171"/>
      <c r="K4" s="119"/>
    </row>
    <row r="5" spans="1:15" s="186" customFormat="1" ht="15" customHeight="1" x14ac:dyDescent="0.25">
      <c r="A5" s="414" t="s">
        <v>75</v>
      </c>
      <c r="B5" s="415"/>
      <c r="C5" s="415"/>
      <c r="D5" s="415"/>
      <c r="E5" s="415"/>
      <c r="F5" s="415"/>
      <c r="G5" s="415"/>
      <c r="H5" s="415"/>
      <c r="I5" s="415"/>
      <c r="J5" s="416"/>
      <c r="K5" s="119"/>
    </row>
    <row r="6" spans="1:15" s="186" customFormat="1" ht="15" customHeight="1" x14ac:dyDescent="0.25">
      <c r="A6" s="417"/>
      <c r="B6" s="418"/>
      <c r="C6" s="418"/>
      <c r="D6" s="418"/>
      <c r="E6" s="418"/>
      <c r="F6" s="418"/>
      <c r="G6" s="418"/>
      <c r="H6" s="418"/>
      <c r="I6" s="418"/>
      <c r="J6" s="419"/>
      <c r="K6" s="119"/>
    </row>
    <row r="7" spans="1:15" s="186" customFormat="1" ht="15" customHeight="1" x14ac:dyDescent="0.25">
      <c r="A7" s="420"/>
      <c r="B7" s="421"/>
      <c r="C7" s="421"/>
      <c r="D7" s="421"/>
      <c r="E7" s="421"/>
      <c r="F7" s="421"/>
      <c r="G7" s="421"/>
      <c r="H7" s="421"/>
      <c r="I7" s="421"/>
      <c r="J7" s="422"/>
      <c r="K7" s="119"/>
    </row>
    <row r="8" spans="1:15" s="186" customFormat="1" ht="15" customHeight="1" x14ac:dyDescent="0.25">
      <c r="A8" s="402" t="s">
        <v>957</v>
      </c>
      <c r="B8" s="403"/>
      <c r="C8" s="403"/>
      <c r="D8" s="403"/>
      <c r="E8" s="403"/>
      <c r="F8" s="403"/>
      <c r="G8" s="403"/>
      <c r="H8" s="403"/>
      <c r="I8" s="403"/>
      <c r="J8" s="404"/>
      <c r="K8" s="119"/>
      <c r="O8" s="199"/>
    </row>
    <row r="9" spans="1:15" s="186" customFormat="1" ht="15" customHeight="1" x14ac:dyDescent="0.25">
      <c r="A9" s="405"/>
      <c r="B9" s="406"/>
      <c r="C9" s="406"/>
      <c r="D9" s="406"/>
      <c r="E9" s="406"/>
      <c r="F9" s="406"/>
      <c r="G9" s="406"/>
      <c r="H9" s="406"/>
      <c r="I9" s="406"/>
      <c r="J9" s="407"/>
      <c r="K9" s="119"/>
    </row>
    <row r="10" spans="1:15" ht="14.25" customHeight="1" x14ac:dyDescent="0.25">
      <c r="A10" s="405"/>
      <c r="B10" s="406"/>
      <c r="C10" s="406"/>
      <c r="D10" s="406"/>
      <c r="E10" s="406"/>
      <c r="F10" s="406"/>
      <c r="G10" s="406"/>
      <c r="H10" s="406"/>
      <c r="I10" s="406"/>
      <c r="J10" s="407"/>
    </row>
    <row r="11" spans="1:15" x14ac:dyDescent="0.25">
      <c r="A11" s="405"/>
      <c r="B11" s="406"/>
      <c r="C11" s="406"/>
      <c r="D11" s="406"/>
      <c r="E11" s="406"/>
      <c r="F11" s="406"/>
      <c r="G11" s="406"/>
      <c r="H11" s="406"/>
      <c r="I11" s="406"/>
      <c r="J11" s="407"/>
    </row>
    <row r="12" spans="1:15" x14ac:dyDescent="0.25">
      <c r="A12" s="405"/>
      <c r="B12" s="406"/>
      <c r="C12" s="406"/>
      <c r="D12" s="406"/>
      <c r="E12" s="406"/>
      <c r="F12" s="406"/>
      <c r="G12" s="406"/>
      <c r="H12" s="406"/>
      <c r="I12" s="406"/>
      <c r="J12" s="407"/>
    </row>
    <row r="13" spans="1:15" x14ac:dyDescent="0.25">
      <c r="A13" s="405"/>
      <c r="B13" s="406"/>
      <c r="C13" s="406"/>
      <c r="D13" s="406"/>
      <c r="E13" s="406"/>
      <c r="F13" s="406"/>
      <c r="G13" s="406"/>
      <c r="H13" s="406"/>
      <c r="I13" s="406"/>
      <c r="J13" s="407"/>
    </row>
    <row r="14" spans="1:15" x14ac:dyDescent="0.25">
      <c r="A14" s="405"/>
      <c r="B14" s="406"/>
      <c r="C14" s="406"/>
      <c r="D14" s="406"/>
      <c r="E14" s="406"/>
      <c r="F14" s="406"/>
      <c r="G14" s="406"/>
      <c r="H14" s="406"/>
      <c r="I14" s="406"/>
      <c r="J14" s="407"/>
    </row>
    <row r="15" spans="1:15" x14ac:dyDescent="0.25">
      <c r="A15" s="405"/>
      <c r="B15" s="406"/>
      <c r="C15" s="406"/>
      <c r="D15" s="406"/>
      <c r="E15" s="406"/>
      <c r="F15" s="406"/>
      <c r="G15" s="406"/>
      <c r="H15" s="406"/>
      <c r="I15" s="406"/>
      <c r="J15" s="407"/>
    </row>
    <row r="16" spans="1:15" x14ac:dyDescent="0.25">
      <c r="A16" s="405"/>
      <c r="B16" s="406"/>
      <c r="C16" s="406"/>
      <c r="D16" s="406"/>
      <c r="E16" s="406"/>
      <c r="F16" s="406"/>
      <c r="G16" s="406"/>
      <c r="H16" s="406"/>
      <c r="I16" s="406"/>
      <c r="J16" s="407"/>
    </row>
    <row r="17" spans="1:10" x14ac:dyDescent="0.25">
      <c r="A17" s="405"/>
      <c r="B17" s="406"/>
      <c r="C17" s="406"/>
      <c r="D17" s="406"/>
      <c r="E17" s="406"/>
      <c r="F17" s="406"/>
      <c r="G17" s="406"/>
      <c r="H17" s="406"/>
      <c r="I17" s="406"/>
      <c r="J17" s="407"/>
    </row>
    <row r="18" spans="1:10" x14ac:dyDescent="0.25">
      <c r="A18" s="405"/>
      <c r="B18" s="406"/>
      <c r="C18" s="406"/>
      <c r="D18" s="406"/>
      <c r="E18" s="406"/>
      <c r="F18" s="406"/>
      <c r="G18" s="406"/>
      <c r="H18" s="406"/>
      <c r="I18" s="406"/>
      <c r="J18" s="407"/>
    </row>
    <row r="19" spans="1:10" x14ac:dyDescent="0.25">
      <c r="A19" s="405"/>
      <c r="B19" s="406"/>
      <c r="C19" s="406"/>
      <c r="D19" s="406"/>
      <c r="E19" s="406"/>
      <c r="F19" s="406"/>
      <c r="G19" s="406"/>
      <c r="H19" s="406"/>
      <c r="I19" s="406"/>
      <c r="J19" s="407"/>
    </row>
    <row r="20" spans="1:10" x14ac:dyDescent="0.25">
      <c r="A20" s="405"/>
      <c r="B20" s="406"/>
      <c r="C20" s="406"/>
      <c r="D20" s="406"/>
      <c r="E20" s="406"/>
      <c r="F20" s="406"/>
      <c r="G20" s="406"/>
      <c r="H20" s="406"/>
      <c r="I20" s="406"/>
      <c r="J20" s="407"/>
    </row>
    <row r="21" spans="1:10" x14ac:dyDescent="0.25">
      <c r="A21" s="405"/>
      <c r="B21" s="406"/>
      <c r="C21" s="406"/>
      <c r="D21" s="406"/>
      <c r="E21" s="406"/>
      <c r="F21" s="406"/>
      <c r="G21" s="406"/>
      <c r="H21" s="406"/>
      <c r="I21" s="406"/>
      <c r="J21" s="407"/>
    </row>
    <row r="22" spans="1:10" x14ac:dyDescent="0.25">
      <c r="A22" s="405"/>
      <c r="B22" s="406"/>
      <c r="C22" s="406"/>
      <c r="D22" s="406"/>
      <c r="E22" s="406"/>
      <c r="F22" s="406"/>
      <c r="G22" s="406"/>
      <c r="H22" s="406"/>
      <c r="I22" s="406"/>
      <c r="J22" s="407"/>
    </row>
    <row r="23" spans="1:10" x14ac:dyDescent="0.25">
      <c r="A23" s="405"/>
      <c r="B23" s="406"/>
      <c r="C23" s="406"/>
      <c r="D23" s="406"/>
      <c r="E23" s="406"/>
      <c r="F23" s="406"/>
      <c r="G23" s="406"/>
      <c r="H23" s="406"/>
      <c r="I23" s="406"/>
      <c r="J23" s="407"/>
    </row>
    <row r="24" spans="1:10" x14ac:dyDescent="0.25">
      <c r="A24" s="405"/>
      <c r="B24" s="406"/>
      <c r="C24" s="406"/>
      <c r="D24" s="406"/>
      <c r="E24" s="406"/>
      <c r="F24" s="406"/>
      <c r="G24" s="406"/>
      <c r="H24" s="406"/>
      <c r="I24" s="406"/>
      <c r="J24" s="407"/>
    </row>
    <row r="25" spans="1:10" x14ac:dyDescent="0.25">
      <c r="A25" s="405"/>
      <c r="B25" s="406"/>
      <c r="C25" s="406"/>
      <c r="D25" s="406"/>
      <c r="E25" s="406"/>
      <c r="F25" s="406"/>
      <c r="G25" s="406"/>
      <c r="H25" s="406"/>
      <c r="I25" s="406"/>
      <c r="J25" s="407"/>
    </row>
    <row r="26" spans="1:10" x14ac:dyDescent="0.25">
      <c r="A26" s="405"/>
      <c r="B26" s="406"/>
      <c r="C26" s="406"/>
      <c r="D26" s="406"/>
      <c r="E26" s="406"/>
      <c r="F26" s="406"/>
      <c r="G26" s="406"/>
      <c r="H26" s="406"/>
      <c r="I26" s="406"/>
      <c r="J26" s="407"/>
    </row>
    <row r="27" spans="1:10" x14ac:dyDescent="0.25">
      <c r="A27" s="405"/>
      <c r="B27" s="406"/>
      <c r="C27" s="406"/>
      <c r="D27" s="406"/>
      <c r="E27" s="406"/>
      <c r="F27" s="406"/>
      <c r="G27" s="406"/>
      <c r="H27" s="406"/>
      <c r="I27" s="406"/>
      <c r="J27" s="407"/>
    </row>
    <row r="28" spans="1:10" x14ac:dyDescent="0.25">
      <c r="A28" s="405"/>
      <c r="B28" s="406"/>
      <c r="C28" s="406"/>
      <c r="D28" s="406"/>
      <c r="E28" s="406"/>
      <c r="F28" s="406"/>
      <c r="G28" s="406"/>
      <c r="H28" s="406"/>
      <c r="I28" s="406"/>
      <c r="J28" s="407"/>
    </row>
    <row r="29" spans="1:10" x14ac:dyDescent="0.25">
      <c r="A29" s="405"/>
      <c r="B29" s="406"/>
      <c r="C29" s="406"/>
      <c r="D29" s="406"/>
      <c r="E29" s="406"/>
      <c r="F29" s="406"/>
      <c r="G29" s="406"/>
      <c r="H29" s="406"/>
      <c r="I29" s="406"/>
      <c r="J29" s="407"/>
    </row>
    <row r="30" spans="1:10" x14ac:dyDescent="0.25">
      <c r="A30" s="405"/>
      <c r="B30" s="406"/>
      <c r="C30" s="406"/>
      <c r="D30" s="406"/>
      <c r="E30" s="406"/>
      <c r="F30" s="406"/>
      <c r="G30" s="406"/>
      <c r="H30" s="406"/>
      <c r="I30" s="406"/>
      <c r="J30" s="407"/>
    </row>
    <row r="31" spans="1:10" x14ac:dyDescent="0.25">
      <c r="A31" s="405"/>
      <c r="B31" s="406"/>
      <c r="C31" s="406"/>
      <c r="D31" s="406"/>
      <c r="E31" s="406"/>
      <c r="F31" s="406"/>
      <c r="G31" s="406"/>
      <c r="H31" s="406"/>
      <c r="I31" s="406"/>
      <c r="J31" s="407"/>
    </row>
    <row r="32" spans="1:10" x14ac:dyDescent="0.25">
      <c r="A32" s="405"/>
      <c r="B32" s="406"/>
      <c r="C32" s="406"/>
      <c r="D32" s="406"/>
      <c r="E32" s="406"/>
      <c r="F32" s="406"/>
      <c r="G32" s="406"/>
      <c r="H32" s="406"/>
      <c r="I32" s="406"/>
      <c r="J32" s="407"/>
    </row>
    <row r="33" spans="1:10" x14ac:dyDescent="0.25">
      <c r="A33" s="405"/>
      <c r="B33" s="406"/>
      <c r="C33" s="406"/>
      <c r="D33" s="406"/>
      <c r="E33" s="406"/>
      <c r="F33" s="406"/>
      <c r="G33" s="406"/>
      <c r="H33" s="406"/>
      <c r="I33" s="406"/>
      <c r="J33" s="407"/>
    </row>
    <row r="34" spans="1:10" x14ac:dyDescent="0.25">
      <c r="A34" s="405"/>
      <c r="B34" s="406"/>
      <c r="C34" s="406"/>
      <c r="D34" s="406"/>
      <c r="E34" s="406"/>
      <c r="F34" s="406"/>
      <c r="G34" s="406"/>
      <c r="H34" s="406"/>
      <c r="I34" s="406"/>
      <c r="J34" s="407"/>
    </row>
    <row r="35" spans="1:10" x14ac:dyDescent="0.25">
      <c r="A35" s="405"/>
      <c r="B35" s="406"/>
      <c r="C35" s="406"/>
      <c r="D35" s="406"/>
      <c r="E35" s="406"/>
      <c r="F35" s="406"/>
      <c r="G35" s="406"/>
      <c r="H35" s="406"/>
      <c r="I35" s="406"/>
      <c r="J35" s="407"/>
    </row>
    <row r="36" spans="1:10" x14ac:dyDescent="0.25">
      <c r="A36" s="405"/>
      <c r="B36" s="406"/>
      <c r="C36" s="406"/>
      <c r="D36" s="406"/>
      <c r="E36" s="406"/>
      <c r="F36" s="406"/>
      <c r="G36" s="406"/>
      <c r="H36" s="406"/>
      <c r="I36" s="406"/>
      <c r="J36" s="407"/>
    </row>
    <row r="37" spans="1:10" x14ac:dyDescent="0.25">
      <c r="A37" s="405"/>
      <c r="B37" s="406"/>
      <c r="C37" s="406"/>
      <c r="D37" s="406"/>
      <c r="E37" s="406"/>
      <c r="F37" s="406"/>
      <c r="G37" s="406"/>
      <c r="H37" s="406"/>
      <c r="I37" s="406"/>
      <c r="J37" s="407"/>
    </row>
    <row r="38" spans="1:10" x14ac:dyDescent="0.25">
      <c r="A38" s="405"/>
      <c r="B38" s="406"/>
      <c r="C38" s="406"/>
      <c r="D38" s="406"/>
      <c r="E38" s="406"/>
      <c r="F38" s="406"/>
      <c r="G38" s="406"/>
      <c r="H38" s="406"/>
      <c r="I38" s="406"/>
      <c r="J38" s="407"/>
    </row>
    <row r="39" spans="1:10" x14ac:dyDescent="0.25">
      <c r="A39" s="405"/>
      <c r="B39" s="406"/>
      <c r="C39" s="406"/>
      <c r="D39" s="406"/>
      <c r="E39" s="406"/>
      <c r="F39" s="406"/>
      <c r="G39" s="406"/>
      <c r="H39" s="406"/>
      <c r="I39" s="406"/>
      <c r="J39" s="407"/>
    </row>
    <row r="40" spans="1:10" x14ac:dyDescent="0.25">
      <c r="A40" s="405"/>
      <c r="B40" s="406"/>
      <c r="C40" s="406"/>
      <c r="D40" s="406"/>
      <c r="E40" s="406"/>
      <c r="F40" s="406"/>
      <c r="G40" s="406"/>
      <c r="H40" s="406"/>
      <c r="I40" s="406"/>
      <c r="J40" s="407"/>
    </row>
    <row r="41" spans="1:10" x14ac:dyDescent="0.25">
      <c r="A41" s="405"/>
      <c r="B41" s="406"/>
      <c r="C41" s="406"/>
      <c r="D41" s="406"/>
      <c r="E41" s="406"/>
      <c r="F41" s="406"/>
      <c r="G41" s="406"/>
      <c r="H41" s="406"/>
      <c r="I41" s="406"/>
      <c r="J41" s="407"/>
    </row>
    <row r="42" spans="1:10" x14ac:dyDescent="0.25">
      <c r="A42" s="405"/>
      <c r="B42" s="406"/>
      <c r="C42" s="406"/>
      <c r="D42" s="406"/>
      <c r="E42" s="406"/>
      <c r="F42" s="406"/>
      <c r="G42" s="406"/>
      <c r="H42" s="406"/>
      <c r="I42" s="406"/>
      <c r="J42" s="407"/>
    </row>
    <row r="43" spans="1:10" x14ac:dyDescent="0.25">
      <c r="A43" s="405"/>
      <c r="B43" s="406"/>
      <c r="C43" s="406"/>
      <c r="D43" s="406"/>
      <c r="E43" s="406"/>
      <c r="F43" s="406"/>
      <c r="G43" s="406"/>
      <c r="H43" s="406"/>
      <c r="I43" s="406"/>
      <c r="J43" s="407"/>
    </row>
    <row r="44" spans="1:10" x14ac:dyDescent="0.25">
      <c r="A44" s="405"/>
      <c r="B44" s="406"/>
      <c r="C44" s="406"/>
      <c r="D44" s="406"/>
      <c r="E44" s="406"/>
      <c r="F44" s="406"/>
      <c r="G44" s="406"/>
      <c r="H44" s="406"/>
      <c r="I44" s="406"/>
      <c r="J44" s="407"/>
    </row>
    <row r="45" spans="1:10" x14ac:dyDescent="0.25">
      <c r="A45" s="405"/>
      <c r="B45" s="406"/>
      <c r="C45" s="406"/>
      <c r="D45" s="406"/>
      <c r="E45" s="406"/>
      <c r="F45" s="406"/>
      <c r="G45" s="406"/>
      <c r="H45" s="406"/>
      <c r="I45" s="406"/>
      <c r="J45" s="407"/>
    </row>
    <row r="46" spans="1:10" x14ac:dyDescent="0.25">
      <c r="A46" s="405"/>
      <c r="B46" s="406"/>
      <c r="C46" s="406"/>
      <c r="D46" s="406"/>
      <c r="E46" s="406"/>
      <c r="F46" s="406"/>
      <c r="G46" s="406"/>
      <c r="H46" s="406"/>
      <c r="I46" s="406"/>
      <c r="J46" s="407"/>
    </row>
    <row r="47" spans="1:10" x14ac:dyDescent="0.25">
      <c r="A47" s="405"/>
      <c r="B47" s="406"/>
      <c r="C47" s="406"/>
      <c r="D47" s="406"/>
      <c r="E47" s="406"/>
      <c r="F47" s="406"/>
      <c r="G47" s="406"/>
      <c r="H47" s="406"/>
      <c r="I47" s="406"/>
      <c r="J47" s="407"/>
    </row>
    <row r="48" spans="1:10" x14ac:dyDescent="0.25">
      <c r="A48" s="405"/>
      <c r="B48" s="406"/>
      <c r="C48" s="406"/>
      <c r="D48" s="406"/>
      <c r="E48" s="406"/>
      <c r="F48" s="406"/>
      <c r="G48" s="406"/>
      <c r="H48" s="406"/>
      <c r="I48" s="406"/>
      <c r="J48" s="407"/>
    </row>
    <row r="49" spans="1:10" x14ac:dyDescent="0.25">
      <c r="A49" s="405"/>
      <c r="B49" s="406"/>
      <c r="C49" s="406"/>
      <c r="D49" s="406"/>
      <c r="E49" s="406"/>
      <c r="F49" s="406"/>
      <c r="G49" s="406"/>
      <c r="H49" s="406"/>
      <c r="I49" s="406"/>
      <c r="J49" s="407"/>
    </row>
    <row r="50" spans="1:10" x14ac:dyDescent="0.25">
      <c r="A50" s="405"/>
      <c r="B50" s="406"/>
      <c r="C50" s="406"/>
      <c r="D50" s="406"/>
      <c r="E50" s="406"/>
      <c r="F50" s="406"/>
      <c r="G50" s="406"/>
      <c r="H50" s="406"/>
      <c r="I50" s="406"/>
      <c r="J50" s="407"/>
    </row>
    <row r="51" spans="1:10" x14ac:dyDescent="0.25">
      <c r="A51" s="405"/>
      <c r="B51" s="406"/>
      <c r="C51" s="406"/>
      <c r="D51" s="406"/>
      <c r="E51" s="406"/>
      <c r="F51" s="406"/>
      <c r="G51" s="406"/>
      <c r="H51" s="406"/>
      <c r="I51" s="406"/>
      <c r="J51" s="407"/>
    </row>
    <row r="52" spans="1:10" x14ac:dyDescent="0.25">
      <c r="A52" s="405"/>
      <c r="B52" s="406"/>
      <c r="C52" s="406"/>
      <c r="D52" s="406"/>
      <c r="E52" s="406"/>
      <c r="F52" s="406"/>
      <c r="G52" s="406"/>
      <c r="H52" s="406"/>
      <c r="I52" s="406"/>
      <c r="J52" s="407"/>
    </row>
    <row r="53" spans="1:10" x14ac:dyDescent="0.25">
      <c r="A53" s="405"/>
      <c r="B53" s="406"/>
      <c r="C53" s="406"/>
      <c r="D53" s="406"/>
      <c r="E53" s="406"/>
      <c r="F53" s="406"/>
      <c r="G53" s="406"/>
      <c r="H53" s="406"/>
      <c r="I53" s="406"/>
      <c r="J53" s="407"/>
    </row>
    <row r="54" spans="1:10" x14ac:dyDescent="0.25">
      <c r="A54" s="405"/>
      <c r="B54" s="406"/>
      <c r="C54" s="406"/>
      <c r="D54" s="406"/>
      <c r="E54" s="406"/>
      <c r="F54" s="406"/>
      <c r="G54" s="406"/>
      <c r="H54" s="406"/>
      <c r="I54" s="406"/>
      <c r="J54" s="407"/>
    </row>
    <row r="55" spans="1:10" x14ac:dyDescent="0.25">
      <c r="A55" s="405"/>
      <c r="B55" s="406"/>
      <c r="C55" s="406"/>
      <c r="D55" s="406"/>
      <c r="E55" s="406"/>
      <c r="F55" s="406"/>
      <c r="G55" s="406"/>
      <c r="H55" s="406"/>
      <c r="I55" s="406"/>
      <c r="J55" s="407"/>
    </row>
    <row r="56" spans="1:10" x14ac:dyDescent="0.25">
      <c r="A56" s="408"/>
      <c r="B56" s="409"/>
      <c r="C56" s="409"/>
      <c r="D56" s="409"/>
      <c r="E56" s="409"/>
      <c r="F56" s="409"/>
      <c r="G56" s="409"/>
      <c r="H56" s="409"/>
      <c r="I56" s="409"/>
      <c r="J56" s="410"/>
    </row>
    <row r="87" spans="1:10" ht="13.5" customHeight="1" x14ac:dyDescent="0.25"/>
    <row r="88" spans="1:10" ht="0.75" hidden="1" customHeight="1" x14ac:dyDescent="0.25">
      <c r="A88" s="85"/>
      <c r="J88" s="86"/>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702" zoomScaleNormal="100" workbookViewId="0">
      <selection activeCell="A717" sqref="A1:XFD1048576"/>
    </sheetView>
  </sheetViews>
  <sheetFormatPr defaultRowHeight="13.2" x14ac:dyDescent="0.25"/>
  <cols>
    <col min="1" max="1" width="10.44140625" style="33" customWidth="1"/>
    <col min="2" max="5" width="9.109375" style="33"/>
    <col min="6" max="6" width="8" style="33" customWidth="1"/>
    <col min="7" max="9" width="9.109375" style="33"/>
    <col min="10" max="10" width="9" style="33" customWidth="1"/>
    <col min="11" max="12" width="8.88671875" style="33"/>
    <col min="13" max="13" width="9.109375" style="33" customWidth="1"/>
    <col min="14" max="19" width="8.88671875" style="33"/>
  </cols>
  <sheetData>
    <row r="1" spans="1:13" ht="15.75" customHeight="1" x14ac:dyDescent="0.3">
      <c r="A1" s="372" t="s">
        <v>76</v>
      </c>
      <c r="B1" s="373"/>
      <c r="C1" s="373"/>
      <c r="D1" s="373"/>
      <c r="E1" s="373"/>
      <c r="F1" s="373"/>
      <c r="G1" s="373"/>
      <c r="H1" s="370" t="str">
        <f>'CONTACT INFORMATION'!$A$24</f>
        <v>Ventura</v>
      </c>
      <c r="I1" s="370"/>
      <c r="J1" s="371"/>
    </row>
    <row r="2" spans="1:13" ht="9" customHeight="1" x14ac:dyDescent="0.25">
      <c r="A2" s="39"/>
      <c r="B2" s="39"/>
      <c r="C2" s="39"/>
      <c r="D2" s="39"/>
      <c r="E2" s="39"/>
      <c r="F2" s="39"/>
      <c r="G2" s="39"/>
      <c r="H2" s="39"/>
      <c r="I2" s="39"/>
      <c r="J2" s="39"/>
    </row>
    <row r="3" spans="1:13" ht="12" customHeight="1" x14ac:dyDescent="0.25">
      <c r="A3" s="546" t="s">
        <v>77</v>
      </c>
      <c r="B3" s="546"/>
      <c r="C3" s="546"/>
      <c r="D3" s="546"/>
      <c r="E3" s="546"/>
      <c r="F3" s="546"/>
      <c r="G3" s="546"/>
      <c r="H3" s="546"/>
      <c r="I3" s="546"/>
      <c r="J3" s="546"/>
    </row>
    <row r="4" spans="1:13" ht="14.1" customHeight="1" x14ac:dyDescent="0.25">
      <c r="A4" s="546"/>
      <c r="B4" s="546"/>
      <c r="C4" s="546"/>
      <c r="D4" s="546"/>
      <c r="E4" s="546"/>
      <c r="F4" s="546"/>
      <c r="G4" s="546"/>
      <c r="H4" s="546"/>
      <c r="I4" s="546"/>
      <c r="J4" s="546"/>
    </row>
    <row r="5" spans="1:13" ht="14.1" customHeight="1" x14ac:dyDescent="0.25">
      <c r="A5" s="546"/>
      <c r="B5" s="546"/>
      <c r="C5" s="546"/>
      <c r="D5" s="546"/>
      <c r="E5" s="546"/>
      <c r="F5" s="546"/>
      <c r="G5" s="546"/>
      <c r="H5" s="546"/>
      <c r="I5" s="546"/>
      <c r="J5" s="546"/>
    </row>
    <row r="6" spans="1:13" ht="14.1" customHeight="1" x14ac:dyDescent="0.25">
      <c r="A6" s="546"/>
      <c r="B6" s="546"/>
      <c r="C6" s="546"/>
      <c r="D6" s="546"/>
      <c r="E6" s="546"/>
      <c r="F6" s="546"/>
      <c r="G6" s="546"/>
      <c r="H6" s="546"/>
      <c r="I6" s="546"/>
      <c r="J6" s="546"/>
      <c r="M6" s="39"/>
    </row>
    <row r="7" spans="1:13" ht="9" customHeight="1" x14ac:dyDescent="0.25">
      <c r="A7" s="546"/>
      <c r="B7" s="546"/>
      <c r="C7" s="546"/>
      <c r="D7" s="546"/>
      <c r="E7" s="546"/>
      <c r="F7" s="546"/>
      <c r="G7" s="546"/>
      <c r="H7" s="546"/>
      <c r="I7" s="546"/>
      <c r="J7" s="546"/>
      <c r="M7" s="39"/>
    </row>
    <row r="8" spans="1:13" ht="10.5" customHeight="1" x14ac:dyDescent="0.25"/>
    <row r="9" spans="1:13" ht="14.1" customHeight="1" x14ac:dyDescent="0.25">
      <c r="A9" s="284" t="s">
        <v>78</v>
      </c>
      <c r="B9" s="284"/>
      <c r="C9" s="284"/>
      <c r="D9" s="284"/>
      <c r="E9" s="284"/>
      <c r="F9" s="284"/>
      <c r="G9" s="284"/>
      <c r="H9" s="284"/>
      <c r="I9" s="284"/>
      <c r="J9" s="284"/>
    </row>
    <row r="10" spans="1:13" ht="14.1" customHeight="1" x14ac:dyDescent="0.25">
      <c r="A10" s="284"/>
      <c r="B10" s="284"/>
      <c r="C10" s="284"/>
      <c r="D10" s="284"/>
      <c r="E10" s="284"/>
      <c r="F10" s="284"/>
      <c r="G10" s="284"/>
      <c r="H10" s="284"/>
      <c r="I10" s="284"/>
      <c r="J10" s="284"/>
    </row>
    <row r="11" spans="1:13" ht="14.1" customHeight="1" x14ac:dyDescent="0.25">
      <c r="A11" s="284"/>
      <c r="B11" s="284"/>
      <c r="C11" s="284"/>
      <c r="D11" s="284"/>
      <c r="E11" s="284"/>
      <c r="F11" s="284"/>
      <c r="G11" s="284"/>
      <c r="H11" s="284"/>
      <c r="I11" s="284"/>
      <c r="J11" s="284"/>
    </row>
    <row r="12" spans="1:13" ht="12.75" customHeight="1" x14ac:dyDescent="0.25">
      <c r="A12" s="221"/>
      <c r="B12" s="221"/>
      <c r="C12" s="221"/>
      <c r="D12" s="221"/>
      <c r="E12" s="221"/>
      <c r="F12" s="221"/>
      <c r="G12" s="221"/>
      <c r="H12" s="221"/>
      <c r="I12" s="221"/>
      <c r="J12" s="221"/>
      <c r="M12" s="39"/>
    </row>
    <row r="13" spans="1:13" ht="13.8" x14ac:dyDescent="0.25">
      <c r="A13" s="549" t="s">
        <v>79</v>
      </c>
      <c r="B13" s="549"/>
      <c r="C13" s="549"/>
      <c r="D13" s="549"/>
      <c r="E13" s="549"/>
      <c r="F13" s="549"/>
      <c r="G13" s="549"/>
      <c r="H13" s="549"/>
      <c r="I13" s="549"/>
      <c r="J13" s="549"/>
    </row>
    <row r="14" spans="1:13" ht="18" customHeight="1" thickBot="1" x14ac:dyDescent="0.3">
      <c r="A14" s="41"/>
      <c r="B14" s="42" t="s">
        <v>80</v>
      </c>
      <c r="C14" s="550" t="s">
        <v>81</v>
      </c>
      <c r="D14" s="550"/>
      <c r="E14" s="550"/>
      <c r="F14" s="43"/>
      <c r="G14" s="42" t="s">
        <v>80</v>
      </c>
      <c r="H14" s="550" t="s">
        <v>81</v>
      </c>
      <c r="I14" s="550"/>
      <c r="J14" s="550"/>
    </row>
    <row r="15" spans="1:13" ht="12" customHeight="1" x14ac:dyDescent="0.25">
      <c r="A15" s="44" t="s">
        <v>82</v>
      </c>
      <c r="B15" s="45">
        <v>1</v>
      </c>
      <c r="C15" s="46" t="s">
        <v>83</v>
      </c>
      <c r="F15" s="46"/>
      <c r="G15" s="45">
        <v>5</v>
      </c>
      <c r="H15" s="46" t="s">
        <v>84</v>
      </c>
      <c r="I15" s="46"/>
      <c r="J15" s="46"/>
    </row>
    <row r="16" spans="1:13" ht="12" customHeight="1" x14ac:dyDescent="0.25">
      <c r="A16" s="46"/>
      <c r="B16" s="45">
        <v>2</v>
      </c>
      <c r="C16" s="46" t="s">
        <v>85</v>
      </c>
      <c r="F16" s="46"/>
      <c r="G16" s="45">
        <v>6</v>
      </c>
      <c r="H16" s="46" t="s">
        <v>86</v>
      </c>
      <c r="I16" s="46"/>
      <c r="J16" s="46"/>
    </row>
    <row r="17" spans="1:10" ht="12" customHeight="1" x14ac:dyDescent="0.25">
      <c r="A17" s="46"/>
      <c r="B17" s="45">
        <v>3</v>
      </c>
      <c r="C17" s="46" t="s">
        <v>87</v>
      </c>
      <c r="F17" s="46"/>
      <c r="G17" s="45">
        <v>7</v>
      </c>
      <c r="H17" s="46" t="s">
        <v>88</v>
      </c>
      <c r="I17" s="46"/>
      <c r="J17" s="46"/>
    </row>
    <row r="18" spans="1:10" ht="12" customHeight="1" x14ac:dyDescent="0.25">
      <c r="A18" s="46"/>
      <c r="B18" s="45">
        <v>4</v>
      </c>
      <c r="C18" s="46" t="s">
        <v>89</v>
      </c>
      <c r="F18" s="46"/>
      <c r="G18" s="46"/>
      <c r="H18" s="46"/>
      <c r="I18" s="46"/>
      <c r="J18" s="46"/>
    </row>
    <row r="19" spans="1:10" ht="10.5" customHeight="1" x14ac:dyDescent="0.25">
      <c r="A19" s="46"/>
      <c r="B19" s="45"/>
      <c r="C19" s="46"/>
      <c r="F19" s="46"/>
      <c r="G19" s="46"/>
      <c r="H19" s="46"/>
      <c r="I19" s="46"/>
      <c r="J19" s="46"/>
    </row>
    <row r="20" spans="1:10" ht="12" customHeight="1" thickBot="1" x14ac:dyDescent="0.3">
      <c r="A20" s="41"/>
      <c r="B20" s="42" t="s">
        <v>80</v>
      </c>
      <c r="C20" s="550" t="s">
        <v>81</v>
      </c>
      <c r="D20" s="550"/>
      <c r="E20" s="550"/>
      <c r="F20" s="47"/>
      <c r="G20" s="42" t="s">
        <v>80</v>
      </c>
      <c r="H20" s="550" t="s">
        <v>81</v>
      </c>
      <c r="I20" s="550"/>
      <c r="J20" s="550"/>
    </row>
    <row r="21" spans="1:10" ht="12" customHeight="1" x14ac:dyDescent="0.25">
      <c r="A21" s="48" t="s">
        <v>90</v>
      </c>
      <c r="B21" s="45">
        <v>8</v>
      </c>
      <c r="C21" s="46" t="s">
        <v>91</v>
      </c>
      <c r="F21" s="46"/>
      <c r="G21" s="45">
        <v>26</v>
      </c>
      <c r="H21" s="46" t="s">
        <v>92</v>
      </c>
      <c r="I21" s="46"/>
      <c r="J21" s="46"/>
    </row>
    <row r="22" spans="1:10" ht="12" customHeight="1" x14ac:dyDescent="0.25">
      <c r="A22" s="49" t="s">
        <v>93</v>
      </c>
      <c r="B22" s="45">
        <v>9</v>
      </c>
      <c r="C22" s="46" t="s">
        <v>94</v>
      </c>
      <c r="F22" s="46"/>
      <c r="G22" s="45"/>
      <c r="H22" s="46" t="s">
        <v>95</v>
      </c>
      <c r="I22" s="46"/>
      <c r="J22" s="46"/>
    </row>
    <row r="23" spans="1:10" ht="12" customHeight="1" x14ac:dyDescent="0.25">
      <c r="B23" s="45">
        <v>10</v>
      </c>
      <c r="C23" s="46" t="s">
        <v>96</v>
      </c>
      <c r="F23" s="46"/>
      <c r="G23" s="45">
        <v>27</v>
      </c>
      <c r="H23" s="46" t="s">
        <v>97</v>
      </c>
      <c r="I23" s="46"/>
      <c r="J23" s="46"/>
    </row>
    <row r="24" spans="1:10" ht="12" customHeight="1" x14ac:dyDescent="0.25">
      <c r="A24" s="46"/>
      <c r="B24" s="45">
        <v>11</v>
      </c>
      <c r="C24" s="46" t="s">
        <v>98</v>
      </c>
      <c r="F24" s="46"/>
      <c r="G24" s="45">
        <v>28</v>
      </c>
      <c r="H24" s="46" t="s">
        <v>99</v>
      </c>
      <c r="I24" s="46"/>
      <c r="J24" s="46"/>
    </row>
    <row r="25" spans="1:10" ht="12" customHeight="1" x14ac:dyDescent="0.25">
      <c r="A25" s="46"/>
      <c r="B25" s="45">
        <v>12</v>
      </c>
      <c r="C25" s="46" t="s">
        <v>100</v>
      </c>
      <c r="F25" s="46"/>
      <c r="G25" s="45">
        <v>29</v>
      </c>
      <c r="H25" s="46" t="s">
        <v>101</v>
      </c>
      <c r="I25" s="46"/>
      <c r="J25" s="46"/>
    </row>
    <row r="26" spans="1:10" ht="12" customHeight="1" x14ac:dyDescent="0.25">
      <c r="A26" s="46"/>
      <c r="B26" s="45">
        <v>13</v>
      </c>
      <c r="C26" s="46" t="s">
        <v>102</v>
      </c>
      <c r="F26" s="46"/>
      <c r="G26" s="45">
        <v>30</v>
      </c>
      <c r="H26" s="46" t="s">
        <v>103</v>
      </c>
      <c r="I26" s="46"/>
      <c r="J26" s="46"/>
    </row>
    <row r="27" spans="1:10" ht="12" customHeight="1" x14ac:dyDescent="0.25">
      <c r="A27" s="46"/>
      <c r="B27" s="45">
        <v>14</v>
      </c>
      <c r="C27" s="46" t="s">
        <v>104</v>
      </c>
      <c r="F27" s="46"/>
      <c r="G27" s="45">
        <v>31</v>
      </c>
      <c r="H27" s="46" t="s">
        <v>105</v>
      </c>
      <c r="I27" s="46"/>
      <c r="J27" s="46"/>
    </row>
    <row r="28" spans="1:10" ht="12" customHeight="1" x14ac:dyDescent="0.25">
      <c r="A28" s="46"/>
      <c r="B28" s="45">
        <v>15</v>
      </c>
      <c r="C28" s="46" t="s">
        <v>106</v>
      </c>
      <c r="F28" s="46"/>
      <c r="G28" s="45">
        <v>32</v>
      </c>
      <c r="H28" s="46" t="s">
        <v>107</v>
      </c>
      <c r="I28" s="46"/>
      <c r="J28" s="46"/>
    </row>
    <row r="29" spans="1:10" ht="12" customHeight="1" x14ac:dyDescent="0.25">
      <c r="A29" s="46"/>
      <c r="B29" s="45">
        <v>16</v>
      </c>
      <c r="C29" s="46" t="s">
        <v>108</v>
      </c>
      <c r="F29" s="46"/>
      <c r="G29" s="45">
        <v>33</v>
      </c>
      <c r="H29" s="46" t="s">
        <v>109</v>
      </c>
      <c r="I29" s="46"/>
      <c r="J29" s="46"/>
    </row>
    <row r="30" spans="1:10" ht="12" customHeight="1" x14ac:dyDescent="0.25">
      <c r="A30" s="46"/>
      <c r="B30" s="45">
        <v>17</v>
      </c>
      <c r="C30" s="46" t="s">
        <v>110</v>
      </c>
      <c r="F30" s="46"/>
      <c r="G30" s="45">
        <v>34</v>
      </c>
      <c r="H30" s="46" t="s">
        <v>111</v>
      </c>
      <c r="I30" s="46"/>
      <c r="J30" s="46"/>
    </row>
    <row r="31" spans="1:10" ht="12" customHeight="1" x14ac:dyDescent="0.25">
      <c r="A31" s="46"/>
      <c r="B31" s="45">
        <v>18</v>
      </c>
      <c r="C31" s="46" t="s">
        <v>112</v>
      </c>
      <c r="F31" s="46"/>
      <c r="G31" s="45">
        <v>35</v>
      </c>
      <c r="H31" s="46" t="s">
        <v>113</v>
      </c>
      <c r="I31" s="46"/>
      <c r="J31" s="46"/>
    </row>
    <row r="32" spans="1:10" ht="12" customHeight="1" x14ac:dyDescent="0.25">
      <c r="A32" s="46"/>
      <c r="B32" s="45">
        <v>19</v>
      </c>
      <c r="C32" s="46" t="s">
        <v>114</v>
      </c>
      <c r="F32" s="46"/>
      <c r="G32" s="45">
        <v>36</v>
      </c>
      <c r="H32" s="46" t="s">
        <v>115</v>
      </c>
      <c r="I32" s="46"/>
      <c r="J32" s="46"/>
    </row>
    <row r="33" spans="1:10" ht="12" customHeight="1" x14ac:dyDescent="0.25">
      <c r="A33" s="46"/>
      <c r="B33" s="45">
        <v>20</v>
      </c>
      <c r="C33" s="46" t="s">
        <v>116</v>
      </c>
      <c r="F33" s="46"/>
      <c r="G33" s="45">
        <v>37</v>
      </c>
      <c r="H33" s="46" t="s">
        <v>117</v>
      </c>
      <c r="I33" s="46"/>
      <c r="J33" s="46"/>
    </row>
    <row r="34" spans="1:10" ht="12" customHeight="1" x14ac:dyDescent="0.25">
      <c r="A34" s="46"/>
      <c r="B34" s="45">
        <v>21</v>
      </c>
      <c r="C34" s="46" t="s">
        <v>118</v>
      </c>
      <c r="F34" s="46"/>
      <c r="G34" s="45">
        <v>38</v>
      </c>
      <c r="H34" s="46" t="s">
        <v>119</v>
      </c>
      <c r="I34" s="46"/>
      <c r="J34" s="46"/>
    </row>
    <row r="35" spans="1:10" ht="12" customHeight="1" x14ac:dyDescent="0.25">
      <c r="A35" s="46"/>
      <c r="B35" s="45">
        <v>22</v>
      </c>
      <c r="C35" s="46" t="s">
        <v>120</v>
      </c>
      <c r="F35" s="46"/>
      <c r="G35" s="45">
        <v>39</v>
      </c>
      <c r="H35" s="46" t="s">
        <v>121</v>
      </c>
      <c r="I35" s="46"/>
      <c r="J35" s="46"/>
    </row>
    <row r="36" spans="1:10" ht="12" customHeight="1" x14ac:dyDescent="0.25">
      <c r="A36" s="46"/>
      <c r="B36" s="45">
        <v>23</v>
      </c>
      <c r="C36" s="46" t="s">
        <v>122</v>
      </c>
      <c r="F36" s="46"/>
      <c r="G36" s="45">
        <v>40</v>
      </c>
      <c r="H36" s="46" t="s">
        <v>123</v>
      </c>
      <c r="I36" s="46"/>
      <c r="J36" s="46"/>
    </row>
    <row r="37" spans="1:10" ht="12" customHeight="1" x14ac:dyDescent="0.25">
      <c r="A37" s="46"/>
      <c r="B37" s="45">
        <v>24</v>
      </c>
      <c r="C37" s="46" t="s">
        <v>124</v>
      </c>
      <c r="F37" s="46"/>
      <c r="G37" s="45">
        <v>41</v>
      </c>
      <c r="H37" s="46" t="s">
        <v>125</v>
      </c>
      <c r="I37" s="46"/>
      <c r="J37" s="46"/>
    </row>
    <row r="38" spans="1:10" ht="12" customHeight="1" x14ac:dyDescent="0.25">
      <c r="A38" s="46"/>
      <c r="B38" s="45">
        <v>25</v>
      </c>
      <c r="C38" s="46" t="s">
        <v>126</v>
      </c>
      <c r="F38" s="46"/>
      <c r="G38" s="45">
        <v>42</v>
      </c>
      <c r="H38" s="46" t="s">
        <v>127</v>
      </c>
      <c r="I38" s="46"/>
      <c r="J38" s="46"/>
    </row>
    <row r="39" spans="1:10" ht="12" customHeight="1" x14ac:dyDescent="0.25">
      <c r="A39" s="46"/>
      <c r="B39" s="45"/>
      <c r="C39" s="46"/>
      <c r="F39" s="46"/>
      <c r="G39" s="45">
        <v>43</v>
      </c>
      <c r="H39" s="46" t="s">
        <v>128</v>
      </c>
      <c r="I39" s="46"/>
      <c r="J39" s="46"/>
    </row>
    <row r="40" spans="1:10" ht="12" customHeight="1" x14ac:dyDescent="0.25">
      <c r="A40" s="46"/>
      <c r="B40" s="45"/>
      <c r="C40" s="46"/>
      <c r="F40" s="46"/>
      <c r="G40" s="45"/>
      <c r="H40" s="46"/>
      <c r="I40" s="46"/>
      <c r="J40" s="46"/>
    </row>
    <row r="41" spans="1:10" ht="12" customHeight="1" thickBot="1" x14ac:dyDescent="0.3">
      <c r="A41" s="41"/>
      <c r="B41" s="42" t="s">
        <v>80</v>
      </c>
      <c r="C41" s="550" t="s">
        <v>81</v>
      </c>
      <c r="D41" s="550"/>
      <c r="E41" s="550"/>
      <c r="F41" s="47"/>
      <c r="G41" s="42" t="s">
        <v>80</v>
      </c>
      <c r="H41" s="550" t="s">
        <v>81</v>
      </c>
      <c r="I41" s="550"/>
      <c r="J41" s="550"/>
    </row>
    <row r="42" spans="1:10" ht="12" customHeight="1" x14ac:dyDescent="0.25">
      <c r="A42" s="49" t="s">
        <v>129</v>
      </c>
      <c r="B42" s="45">
        <v>44</v>
      </c>
      <c r="C42" s="46" t="s">
        <v>130</v>
      </c>
      <c r="F42" s="46"/>
      <c r="G42" s="45">
        <v>48</v>
      </c>
      <c r="H42" s="46" t="s">
        <v>131</v>
      </c>
      <c r="I42" s="46"/>
      <c r="J42" s="46"/>
    </row>
    <row r="43" spans="1:10" ht="12" customHeight="1" x14ac:dyDescent="0.25">
      <c r="A43" s="49" t="s">
        <v>132</v>
      </c>
      <c r="B43" s="45">
        <v>45</v>
      </c>
      <c r="C43" s="46" t="s">
        <v>133</v>
      </c>
      <c r="F43" s="46"/>
      <c r="G43" s="45">
        <v>49</v>
      </c>
      <c r="H43" s="46" t="s">
        <v>134</v>
      </c>
      <c r="I43" s="46"/>
      <c r="J43" s="46"/>
    </row>
    <row r="44" spans="1:10" ht="12" customHeight="1" x14ac:dyDescent="0.25">
      <c r="A44" s="49" t="s">
        <v>135</v>
      </c>
      <c r="B44" s="45">
        <v>46</v>
      </c>
      <c r="C44" s="46" t="s">
        <v>136</v>
      </c>
      <c r="F44" s="46"/>
      <c r="G44" s="45">
        <v>50</v>
      </c>
      <c r="H44" s="46" t="s">
        <v>137</v>
      </c>
      <c r="I44" s="46"/>
      <c r="J44" s="46"/>
    </row>
    <row r="45" spans="1:10" ht="12" customHeight="1" x14ac:dyDescent="0.25">
      <c r="A45" s="49" t="s">
        <v>138</v>
      </c>
      <c r="B45" s="45">
        <v>47</v>
      </c>
      <c r="C45" s="46" t="s">
        <v>139</v>
      </c>
      <c r="F45" s="46"/>
      <c r="G45" s="45"/>
      <c r="H45" s="46"/>
      <c r="I45" s="46"/>
      <c r="J45" s="46"/>
    </row>
    <row r="46" spans="1:10" x14ac:dyDescent="0.25">
      <c r="A46" s="46"/>
      <c r="B46" s="46"/>
      <c r="C46" s="46"/>
      <c r="F46" s="46"/>
      <c r="G46" s="46"/>
      <c r="H46" s="46"/>
      <c r="I46" s="46"/>
      <c r="J46" s="46"/>
    </row>
    <row r="47" spans="1:10" ht="12.75" customHeight="1" x14ac:dyDescent="0.25">
      <c r="A47" s="284" t="s">
        <v>140</v>
      </c>
      <c r="B47" s="284"/>
      <c r="C47" s="284"/>
      <c r="D47" s="284"/>
      <c r="E47" s="284"/>
      <c r="F47" s="284"/>
      <c r="G47" s="284"/>
      <c r="H47" s="284"/>
      <c r="I47" s="284"/>
      <c r="J47" s="284"/>
    </row>
    <row r="48" spans="1:10" x14ac:dyDescent="0.25">
      <c r="A48" s="284"/>
      <c r="B48" s="284"/>
      <c r="C48" s="284"/>
      <c r="D48" s="284"/>
      <c r="E48" s="284"/>
      <c r="F48" s="284"/>
      <c r="G48" s="284"/>
      <c r="H48" s="284"/>
      <c r="I48" s="284"/>
      <c r="J48" s="284"/>
    </row>
    <row r="49" spans="1:11" x14ac:dyDescent="0.25">
      <c r="A49" s="284"/>
      <c r="B49" s="284"/>
      <c r="C49" s="284"/>
      <c r="D49" s="284"/>
      <c r="E49" s="284"/>
      <c r="F49" s="284"/>
      <c r="G49" s="284"/>
      <c r="H49" s="284"/>
      <c r="I49" s="284"/>
      <c r="J49" s="284"/>
    </row>
    <row r="50" spans="1:11" x14ac:dyDescent="0.25">
      <c r="A50" s="284"/>
      <c r="B50" s="284"/>
      <c r="C50" s="284"/>
      <c r="D50" s="284"/>
      <c r="E50" s="284"/>
      <c r="F50" s="284"/>
      <c r="G50" s="284"/>
      <c r="H50" s="284"/>
      <c r="I50" s="284"/>
      <c r="J50" s="284"/>
    </row>
    <row r="51" spans="1:11" x14ac:dyDescent="0.25">
      <c r="A51" s="284"/>
      <c r="B51" s="284"/>
      <c r="C51" s="284"/>
      <c r="D51" s="284"/>
      <c r="E51" s="284"/>
      <c r="F51" s="284"/>
      <c r="G51" s="284"/>
      <c r="H51" s="284"/>
      <c r="I51" s="284"/>
      <c r="J51" s="284"/>
    </row>
    <row r="52" spans="1:11" ht="12.75" hidden="1" customHeight="1" x14ac:dyDescent="0.25">
      <c r="A52" s="284"/>
      <c r="B52" s="284"/>
      <c r="C52" s="284"/>
      <c r="D52" s="284"/>
      <c r="E52" s="284"/>
      <c r="F52" s="284"/>
      <c r="G52" s="284"/>
      <c r="H52" s="284"/>
      <c r="I52" s="284"/>
      <c r="J52" s="284"/>
    </row>
    <row r="53" spans="1:11" ht="12.75" hidden="1" customHeight="1" x14ac:dyDescent="0.25">
      <c r="A53" s="284"/>
      <c r="B53" s="284"/>
      <c r="C53" s="284"/>
      <c r="D53" s="284"/>
      <c r="E53" s="284"/>
      <c r="F53" s="284"/>
      <c r="G53" s="284"/>
      <c r="H53" s="284"/>
      <c r="I53" s="284"/>
      <c r="J53" s="284"/>
    </row>
    <row r="54" spans="1:11" ht="12.75" hidden="1" customHeight="1" x14ac:dyDescent="0.25">
      <c r="A54" s="284"/>
      <c r="B54" s="284"/>
      <c r="C54" s="284"/>
      <c r="D54" s="284"/>
      <c r="E54" s="284"/>
      <c r="F54" s="284"/>
      <c r="G54" s="284"/>
      <c r="H54" s="284"/>
      <c r="I54" s="284"/>
      <c r="J54" s="284"/>
    </row>
    <row r="55" spans="1:11" ht="12.75" hidden="1" customHeight="1" x14ac:dyDescent="0.25">
      <c r="A55" s="284"/>
      <c r="B55" s="284"/>
      <c r="C55" s="284"/>
      <c r="D55" s="284"/>
      <c r="E55" s="284"/>
      <c r="F55" s="284"/>
      <c r="G55" s="284"/>
      <c r="H55" s="284"/>
      <c r="I55" s="284"/>
      <c r="J55" s="284"/>
    </row>
    <row r="56" spans="1:11" x14ac:dyDescent="0.25">
      <c r="A56" s="284"/>
      <c r="B56" s="284"/>
      <c r="C56" s="284"/>
      <c r="D56" s="284"/>
      <c r="E56" s="284"/>
      <c r="F56" s="284"/>
      <c r="G56" s="284"/>
      <c r="H56" s="284"/>
      <c r="I56" s="284"/>
      <c r="J56" s="284"/>
    </row>
    <row r="57" spans="1:11" x14ac:dyDescent="0.25">
      <c r="A57" s="540"/>
      <c r="B57" s="540"/>
      <c r="C57" s="540"/>
      <c r="D57" s="540"/>
      <c r="E57" s="540"/>
      <c r="F57" s="540"/>
      <c r="G57" s="540"/>
      <c r="H57" s="540"/>
      <c r="I57" s="540"/>
      <c r="J57" s="540"/>
      <c r="K57" s="540"/>
    </row>
    <row r="58" spans="1:11" x14ac:dyDescent="0.25">
      <c r="A58" s="540"/>
      <c r="B58" s="540"/>
      <c r="C58" s="540"/>
      <c r="D58" s="540"/>
      <c r="E58" s="540"/>
      <c r="F58" s="540"/>
      <c r="G58" s="540"/>
      <c r="H58" s="540"/>
      <c r="I58" s="540"/>
      <c r="J58" s="540"/>
      <c r="K58" s="540"/>
    </row>
    <row r="59" spans="1:11" x14ac:dyDescent="0.25">
      <c r="A59" s="221"/>
      <c r="B59" s="221"/>
      <c r="C59" s="221"/>
      <c r="D59" s="221"/>
      <c r="E59" s="221"/>
      <c r="F59" s="221"/>
      <c r="G59" s="221"/>
      <c r="H59" s="221"/>
      <c r="I59" s="221"/>
      <c r="J59" s="221"/>
      <c r="K59" s="221"/>
    </row>
    <row r="60" spans="1:11" x14ac:dyDescent="0.25">
      <c r="A60" s="221"/>
      <c r="B60" s="221"/>
      <c r="C60" s="221"/>
      <c r="D60" s="221"/>
      <c r="E60" s="221"/>
      <c r="F60" s="221"/>
      <c r="G60" s="221"/>
      <c r="H60" s="221"/>
      <c r="I60" s="221"/>
      <c r="J60" s="221"/>
    </row>
    <row r="61" spans="1:11" x14ac:dyDescent="0.25">
      <c r="A61" s="221"/>
      <c r="B61" s="221"/>
      <c r="C61" s="221"/>
      <c r="D61" s="221"/>
      <c r="E61" s="221"/>
      <c r="F61" s="221"/>
      <c r="G61" s="221"/>
      <c r="H61" s="221"/>
      <c r="I61" s="221"/>
      <c r="J61" s="221"/>
    </row>
    <row r="62" spans="1:11" x14ac:dyDescent="0.25">
      <c r="A62" s="221"/>
      <c r="B62" s="221"/>
      <c r="C62" s="221"/>
      <c r="D62" s="221"/>
      <c r="E62" s="221"/>
      <c r="F62" s="221"/>
      <c r="G62" s="221"/>
      <c r="H62" s="221"/>
      <c r="I62" s="221"/>
      <c r="J62" s="221"/>
    </row>
    <row r="63" spans="1:11" x14ac:dyDescent="0.25">
      <c r="A63" s="221"/>
      <c r="B63" s="221"/>
      <c r="C63" s="221"/>
      <c r="D63" s="221"/>
      <c r="E63" s="221"/>
      <c r="F63" s="221"/>
      <c r="G63" s="221"/>
      <c r="H63" s="221"/>
      <c r="I63" s="221"/>
      <c r="J63" s="221"/>
    </row>
    <row r="64" spans="1:11" ht="12.75" customHeight="1" x14ac:dyDescent="0.25">
      <c r="I64" s="563"/>
      <c r="J64" s="564"/>
    </row>
    <row r="65" spans="1:10" ht="15.75" customHeight="1" x14ac:dyDescent="0.3">
      <c r="A65" s="372" t="s">
        <v>76</v>
      </c>
      <c r="B65" s="373"/>
      <c r="C65" s="373"/>
      <c r="D65" s="373"/>
      <c r="E65" s="373"/>
      <c r="F65" s="373"/>
      <c r="G65" s="373"/>
      <c r="H65" s="370" t="str">
        <f>'CONTACT INFORMATION'!$A$24</f>
        <v>Ventura</v>
      </c>
      <c r="I65" s="370"/>
      <c r="J65" s="371"/>
    </row>
    <row r="66" spans="1:10" ht="12" customHeight="1" x14ac:dyDescent="0.25">
      <c r="A66" s="68"/>
      <c r="B66" s="68"/>
      <c r="C66" s="68"/>
      <c r="D66" s="68"/>
      <c r="E66" s="68"/>
      <c r="F66" s="68"/>
      <c r="G66" s="68"/>
      <c r="H66" s="68"/>
      <c r="I66" s="68"/>
      <c r="J66" s="68"/>
    </row>
    <row r="67" spans="1:10" ht="12.75" customHeight="1" x14ac:dyDescent="0.25">
      <c r="B67" s="258" t="s">
        <v>141</v>
      </c>
      <c r="C67" s="258"/>
      <c r="D67" s="258"/>
      <c r="E67" s="258"/>
      <c r="F67" s="258"/>
      <c r="G67" s="258"/>
      <c r="H67" s="258"/>
      <c r="I67" s="258"/>
      <c r="J67" s="50"/>
    </row>
    <row r="68" spans="1:10" ht="12.75" customHeight="1" x14ac:dyDescent="0.25">
      <c r="A68" s="50"/>
      <c r="B68" s="258"/>
      <c r="C68" s="258"/>
      <c r="D68" s="258"/>
      <c r="E68" s="258"/>
      <c r="F68" s="258"/>
      <c r="G68" s="258"/>
      <c r="H68" s="258"/>
      <c r="I68" s="258"/>
      <c r="J68" s="50"/>
    </row>
    <row r="69" spans="1:10" x14ac:dyDescent="0.25">
      <c r="A69" s="50"/>
      <c r="B69" s="258"/>
      <c r="C69" s="258"/>
      <c r="D69" s="258"/>
      <c r="E69" s="258"/>
      <c r="F69" s="258"/>
      <c r="G69" s="258"/>
      <c r="H69" s="258"/>
      <c r="I69" s="258"/>
      <c r="J69" s="50"/>
    </row>
    <row r="70" spans="1:10" ht="12.9" customHeight="1" x14ac:dyDescent="0.25">
      <c r="A70" s="50"/>
      <c r="B70" s="108"/>
      <c r="C70" s="108"/>
      <c r="D70" s="108"/>
      <c r="E70" s="108"/>
      <c r="F70" s="108"/>
      <c r="G70" s="108"/>
      <c r="H70" s="108"/>
      <c r="I70" s="108"/>
      <c r="J70" s="108"/>
    </row>
    <row r="71" spans="1:10" ht="12.75" customHeight="1" x14ac:dyDescent="0.25">
      <c r="A71" s="50"/>
      <c r="B71" s="258" t="s">
        <v>142</v>
      </c>
      <c r="C71" s="258"/>
      <c r="D71" s="258"/>
      <c r="E71" s="258"/>
      <c r="F71" s="258"/>
      <c r="G71" s="258"/>
      <c r="H71" s="258"/>
      <c r="I71" s="258"/>
      <c r="J71" s="50"/>
    </row>
    <row r="72" spans="1:10" ht="12.75" customHeight="1" x14ac:dyDescent="0.25">
      <c r="A72" s="50"/>
      <c r="B72" s="258"/>
      <c r="C72" s="258"/>
      <c r="D72" s="258"/>
      <c r="E72" s="258"/>
      <c r="F72" s="258"/>
      <c r="G72" s="258"/>
      <c r="H72" s="258"/>
      <c r="I72" s="258"/>
      <c r="J72" s="50"/>
    </row>
    <row r="73" spans="1:10" x14ac:dyDescent="0.25">
      <c r="A73" s="50"/>
      <c r="B73" s="258"/>
      <c r="C73" s="258"/>
      <c r="D73" s="258"/>
      <c r="E73" s="258"/>
      <c r="F73" s="258"/>
      <c r="G73" s="258"/>
      <c r="H73" s="258"/>
      <c r="I73" s="258"/>
      <c r="J73" s="50"/>
    </row>
    <row r="74" spans="1:10" ht="12.75" customHeight="1" x14ac:dyDescent="0.25">
      <c r="A74" s="50"/>
      <c r="B74" s="258"/>
      <c r="C74" s="258"/>
      <c r="D74" s="258"/>
      <c r="E74" s="258"/>
      <c r="F74" s="258"/>
      <c r="G74" s="258"/>
      <c r="H74" s="258"/>
      <c r="I74" s="258"/>
      <c r="J74" s="50"/>
    </row>
    <row r="75" spans="1:10" ht="12.9" customHeight="1" x14ac:dyDescent="0.25">
      <c r="A75" s="50"/>
      <c r="B75" s="258"/>
      <c r="C75" s="258"/>
      <c r="D75" s="258"/>
      <c r="E75" s="258"/>
      <c r="F75" s="258"/>
      <c r="G75" s="258"/>
      <c r="H75" s="258"/>
      <c r="I75" s="258"/>
      <c r="J75" s="108"/>
    </row>
    <row r="76" spans="1:10" ht="12.9" customHeight="1" x14ac:dyDescent="0.25">
      <c r="A76" s="50"/>
      <c r="B76" s="108"/>
      <c r="C76" s="108"/>
      <c r="D76" s="108"/>
      <c r="E76" s="108"/>
      <c r="F76" s="108"/>
      <c r="G76" s="108"/>
      <c r="H76" s="108"/>
      <c r="I76" s="108"/>
      <c r="J76" s="108"/>
    </row>
    <row r="77" spans="1:10" ht="12.75" customHeight="1" x14ac:dyDescent="0.25">
      <c r="A77" s="39"/>
      <c r="B77" s="258" t="s">
        <v>143</v>
      </c>
      <c r="C77" s="258"/>
      <c r="D77" s="258"/>
      <c r="E77" s="258"/>
      <c r="F77" s="258"/>
      <c r="G77" s="258"/>
      <c r="H77" s="258"/>
      <c r="I77" s="258"/>
      <c r="J77" s="50"/>
    </row>
    <row r="78" spans="1:10" ht="12.75" customHeight="1" x14ac:dyDescent="0.25">
      <c r="A78" s="39"/>
      <c r="B78" s="258"/>
      <c r="C78" s="258"/>
      <c r="D78" s="258"/>
      <c r="E78" s="258"/>
      <c r="F78" s="258"/>
      <c r="G78" s="258"/>
      <c r="H78" s="258"/>
      <c r="I78" s="258"/>
      <c r="J78" s="50"/>
    </row>
    <row r="79" spans="1:10" ht="12.9" customHeight="1" x14ac:dyDescent="0.25">
      <c r="A79" s="39"/>
      <c r="B79" s="258"/>
      <c r="C79" s="258"/>
      <c r="D79" s="258"/>
      <c r="E79" s="258"/>
      <c r="F79" s="258"/>
      <c r="G79" s="258"/>
      <c r="H79" s="258"/>
      <c r="I79" s="258"/>
      <c r="J79" s="108"/>
    </row>
    <row r="80" spans="1:10" ht="12.9" customHeight="1" x14ac:dyDescent="0.25">
      <c r="A80" s="39"/>
      <c r="B80" s="214"/>
      <c r="C80" s="214"/>
      <c r="D80" s="214"/>
      <c r="E80" s="214"/>
      <c r="F80" s="214"/>
      <c r="G80" s="214"/>
      <c r="H80" s="214"/>
      <c r="I80" s="214"/>
      <c r="J80" s="108"/>
    </row>
    <row r="81" spans="1:10" ht="12.75" customHeight="1" x14ac:dyDescent="0.25">
      <c r="A81" s="39"/>
      <c r="B81" s="539" t="s">
        <v>144</v>
      </c>
      <c r="C81" s="539"/>
      <c r="D81" s="539"/>
      <c r="E81" s="539"/>
      <c r="F81" s="539"/>
      <c r="G81" s="539"/>
      <c r="H81" s="539"/>
      <c r="I81" s="539"/>
      <c r="J81" s="50"/>
    </row>
    <row r="82" spans="1:10" x14ac:dyDescent="0.25">
      <c r="A82" s="39"/>
      <c r="B82" s="539"/>
      <c r="C82" s="539"/>
      <c r="D82" s="539"/>
      <c r="E82" s="539"/>
      <c r="F82" s="539"/>
      <c r="G82" s="539"/>
      <c r="H82" s="539"/>
      <c r="I82" s="539"/>
      <c r="J82" s="50"/>
    </row>
    <row r="83" spans="1:10" x14ac:dyDescent="0.25">
      <c r="A83" s="39"/>
      <c r="B83" s="539"/>
      <c r="C83" s="539"/>
      <c r="D83" s="539"/>
      <c r="E83" s="539"/>
      <c r="F83" s="539"/>
      <c r="G83" s="539"/>
      <c r="H83" s="539"/>
      <c r="I83" s="539"/>
      <c r="J83" s="50"/>
    </row>
    <row r="84" spans="1:10" ht="12.9" customHeight="1" x14ac:dyDescent="0.25">
      <c r="A84" s="39"/>
      <c r="B84" s="539"/>
      <c r="C84" s="539"/>
      <c r="D84" s="539"/>
      <c r="E84" s="539"/>
      <c r="F84" s="539"/>
      <c r="G84" s="539"/>
      <c r="H84" s="539"/>
      <c r="I84" s="539"/>
      <c r="J84" s="108"/>
    </row>
    <row r="85" spans="1:10" ht="12.9" customHeight="1" x14ac:dyDescent="0.25">
      <c r="A85" s="39"/>
      <c r="B85" s="108"/>
      <c r="C85" s="108"/>
      <c r="D85" s="108"/>
      <c r="E85" s="108"/>
      <c r="F85" s="108"/>
      <c r="G85" s="108"/>
      <c r="H85" s="108"/>
      <c r="I85" s="108"/>
      <c r="J85" s="108"/>
    </row>
    <row r="86" spans="1:10" ht="12.75" customHeight="1" x14ac:dyDescent="0.25">
      <c r="A86" s="39"/>
      <c r="B86" s="258" t="s">
        <v>145</v>
      </c>
      <c r="C86" s="258"/>
      <c r="D86" s="258"/>
      <c r="E86" s="258"/>
      <c r="F86" s="258"/>
      <c r="G86" s="258"/>
      <c r="H86" s="258"/>
      <c r="I86" s="258"/>
      <c r="J86" s="68"/>
    </row>
    <row r="87" spans="1:10" x14ac:dyDescent="0.25">
      <c r="A87" s="39"/>
      <c r="B87" s="258"/>
      <c r="C87" s="258"/>
      <c r="D87" s="258"/>
      <c r="E87" s="258"/>
      <c r="F87" s="258"/>
      <c r="G87" s="258"/>
      <c r="H87" s="258"/>
      <c r="I87" s="258"/>
      <c r="J87" s="68"/>
    </row>
    <row r="88" spans="1:10" x14ac:dyDescent="0.25">
      <c r="A88" s="39"/>
      <c r="B88" s="258"/>
      <c r="C88" s="258"/>
      <c r="D88" s="258"/>
      <c r="E88" s="258"/>
      <c r="F88" s="258"/>
      <c r="G88" s="258"/>
      <c r="H88" s="258"/>
      <c r="I88" s="258"/>
      <c r="J88" s="68"/>
    </row>
    <row r="89" spans="1:10" ht="12.9" customHeight="1" x14ac:dyDescent="0.25">
      <c r="A89" s="39"/>
      <c r="B89" s="212"/>
      <c r="C89" s="212"/>
      <c r="D89" s="212"/>
      <c r="E89" s="212"/>
      <c r="F89" s="212"/>
      <c r="G89" s="212"/>
      <c r="H89" s="212"/>
      <c r="I89" s="212"/>
      <c r="J89" s="212"/>
    </row>
    <row r="90" spans="1:10" ht="12.75" customHeight="1" x14ac:dyDescent="0.25">
      <c r="A90" s="39"/>
      <c r="B90" s="258" t="s">
        <v>146</v>
      </c>
      <c r="C90" s="258"/>
      <c r="D90" s="258"/>
      <c r="E90" s="258"/>
      <c r="F90" s="258"/>
      <c r="G90" s="258"/>
      <c r="H90" s="258"/>
      <c r="I90" s="258"/>
      <c r="J90" s="68"/>
    </row>
    <row r="91" spans="1:10" ht="24.75" customHeight="1" x14ac:dyDescent="0.25">
      <c r="A91" s="39"/>
      <c r="B91" s="258"/>
      <c r="C91" s="258"/>
      <c r="D91" s="258"/>
      <c r="E91" s="258"/>
      <c r="F91" s="258"/>
      <c r="G91" s="258"/>
      <c r="H91" s="258"/>
      <c r="I91" s="258"/>
      <c r="J91" s="68"/>
    </row>
    <row r="92" spans="1:10" ht="9" customHeight="1" x14ac:dyDescent="0.25">
      <c r="A92" s="39"/>
      <c r="B92" s="39"/>
      <c r="C92" s="39"/>
      <c r="D92" s="39"/>
      <c r="E92" s="39"/>
      <c r="F92" s="39"/>
      <c r="G92" s="39"/>
      <c r="H92" s="39"/>
      <c r="I92" s="39"/>
      <c r="J92" s="39"/>
    </row>
    <row r="93" spans="1:10" ht="5.0999999999999996" customHeight="1" x14ac:dyDescent="0.25">
      <c r="A93" s="39"/>
      <c r="B93" s="39"/>
      <c r="C93" s="39"/>
      <c r="D93" s="39"/>
      <c r="E93" s="39"/>
      <c r="F93" s="39"/>
      <c r="G93" s="39"/>
      <c r="H93" s="39"/>
      <c r="I93" s="39"/>
      <c r="J93" s="39"/>
    </row>
    <row r="94" spans="1:10" ht="12.75" customHeight="1" x14ac:dyDescent="0.25">
      <c r="A94" s="565" t="s">
        <v>147</v>
      </c>
      <c r="B94" s="565"/>
      <c r="C94" s="565"/>
      <c r="D94" s="565"/>
      <c r="E94" s="565"/>
      <c r="F94" s="565"/>
      <c r="G94" s="565"/>
      <c r="H94" s="565"/>
      <c r="I94" s="565"/>
      <c r="J94" s="565"/>
    </row>
    <row r="95" spans="1:10" x14ac:dyDescent="0.25">
      <c r="A95" s="565"/>
      <c r="B95" s="565"/>
      <c r="C95" s="565"/>
      <c r="D95" s="565"/>
      <c r="E95" s="565"/>
      <c r="F95" s="565"/>
      <c r="G95" s="565"/>
      <c r="H95" s="565"/>
      <c r="I95" s="565"/>
      <c r="J95" s="565"/>
    </row>
    <row r="96" spans="1:10" x14ac:dyDescent="0.25">
      <c r="A96" s="565"/>
      <c r="B96" s="565"/>
      <c r="C96" s="565"/>
      <c r="D96" s="565"/>
      <c r="E96" s="565"/>
      <c r="F96" s="565"/>
      <c r="G96" s="565"/>
      <c r="H96" s="565"/>
      <c r="I96" s="565"/>
      <c r="J96" s="565"/>
    </row>
    <row r="97" spans="1:11" ht="12.75" hidden="1" customHeight="1" x14ac:dyDescent="0.25">
      <c r="A97" s="565"/>
      <c r="B97" s="565"/>
      <c r="C97" s="565"/>
      <c r="D97" s="565"/>
      <c r="E97" s="565"/>
      <c r="F97" s="565"/>
      <c r="G97" s="565"/>
      <c r="H97" s="565"/>
      <c r="I97" s="565"/>
      <c r="J97" s="565"/>
    </row>
    <row r="98" spans="1:11" ht="12.75" hidden="1" customHeight="1" x14ac:dyDescent="0.25">
      <c r="A98" s="565"/>
      <c r="B98" s="565"/>
      <c r="C98" s="565"/>
      <c r="D98" s="565"/>
      <c r="E98" s="565"/>
      <c r="F98" s="565"/>
      <c r="G98" s="565"/>
      <c r="H98" s="565"/>
      <c r="I98" s="565"/>
      <c r="J98" s="565"/>
    </row>
    <row r="99" spans="1:11" ht="12.75" hidden="1" customHeight="1" x14ac:dyDescent="0.25">
      <c r="A99" s="565"/>
      <c r="B99" s="565"/>
      <c r="C99" s="565"/>
      <c r="D99" s="565"/>
      <c r="E99" s="565"/>
      <c r="F99" s="565"/>
      <c r="G99" s="565"/>
      <c r="H99" s="565"/>
      <c r="I99" s="565"/>
      <c r="J99" s="565"/>
    </row>
    <row r="100" spans="1:11" ht="12.75" hidden="1" customHeight="1" x14ac:dyDescent="0.25">
      <c r="A100" s="565"/>
      <c r="B100" s="565"/>
      <c r="C100" s="565"/>
      <c r="D100" s="565"/>
      <c r="E100" s="565"/>
      <c r="F100" s="565"/>
      <c r="G100" s="565"/>
      <c r="H100" s="565"/>
      <c r="I100" s="565"/>
      <c r="J100" s="565"/>
    </row>
    <row r="101" spans="1:11" ht="4.5" customHeight="1" x14ac:dyDescent="0.25">
      <c r="A101" s="565"/>
      <c r="B101" s="565"/>
      <c r="C101" s="565"/>
      <c r="D101" s="565"/>
      <c r="E101" s="565"/>
      <c r="F101" s="565"/>
      <c r="G101" s="565"/>
      <c r="H101" s="565"/>
      <c r="I101" s="565"/>
      <c r="J101" s="565"/>
    </row>
    <row r="102" spans="1:11" ht="7.5" customHeight="1" x14ac:dyDescent="0.25">
      <c r="A102" s="207"/>
      <c r="B102" s="207"/>
      <c r="C102" s="207"/>
      <c r="D102" s="207"/>
      <c r="E102" s="207"/>
      <c r="F102" s="207"/>
      <c r="G102" s="207"/>
      <c r="H102" s="207"/>
      <c r="I102" s="207"/>
      <c r="J102" s="207"/>
    </row>
    <row r="103" spans="1:11" ht="12.75" customHeight="1" x14ac:dyDescent="0.25">
      <c r="A103" s="565" t="s">
        <v>148</v>
      </c>
      <c r="B103" s="565"/>
      <c r="C103" s="565"/>
      <c r="D103" s="565"/>
      <c r="E103" s="565"/>
      <c r="F103" s="565"/>
      <c r="G103" s="565"/>
      <c r="H103" s="565"/>
      <c r="I103" s="565"/>
      <c r="J103" s="565"/>
    </row>
    <row r="104" spans="1:11" ht="12.75" customHeight="1" x14ac:dyDescent="0.25">
      <c r="A104" s="565"/>
      <c r="B104" s="565"/>
      <c r="C104" s="565"/>
      <c r="D104" s="565"/>
      <c r="E104" s="565"/>
      <c r="F104" s="565"/>
      <c r="G104" s="565"/>
      <c r="H104" s="565"/>
      <c r="I104" s="565"/>
      <c r="J104" s="565"/>
    </row>
    <row r="105" spans="1:11" ht="12.75" customHeight="1" x14ac:dyDescent="0.25">
      <c r="A105" s="565"/>
      <c r="B105" s="565"/>
      <c r="C105" s="565"/>
      <c r="D105" s="565"/>
      <c r="E105" s="565"/>
      <c r="F105" s="565"/>
      <c r="G105" s="565"/>
      <c r="H105" s="565"/>
      <c r="I105" s="565"/>
      <c r="J105" s="565"/>
    </row>
    <row r="106" spans="1:11" ht="12.75" customHeight="1" x14ac:dyDescent="0.25">
      <c r="A106" s="40"/>
      <c r="B106" s="40"/>
      <c r="C106" s="40"/>
      <c r="D106" s="40"/>
      <c r="E106" s="40"/>
      <c r="F106" s="40"/>
      <c r="G106" s="40"/>
      <c r="H106" s="40"/>
      <c r="I106" s="40"/>
      <c r="J106" s="40"/>
    </row>
    <row r="107" spans="1:11" ht="20.399999999999999" customHeight="1" x14ac:dyDescent="0.25">
      <c r="A107" s="541" t="s">
        <v>149</v>
      </c>
      <c r="B107" s="542"/>
      <c r="C107" s="542"/>
      <c r="D107" s="542"/>
      <c r="E107" s="542"/>
      <c r="F107" s="542"/>
      <c r="G107" s="542"/>
      <c r="H107" s="542"/>
      <c r="I107" s="542"/>
      <c r="J107" s="542"/>
      <c r="K107" s="542"/>
    </row>
    <row r="108" spans="1:11" ht="12.75" customHeight="1" x14ac:dyDescent="0.25">
      <c r="A108" s="40"/>
      <c r="B108" s="40"/>
      <c r="C108" s="40"/>
      <c r="D108" s="40"/>
      <c r="E108" s="40"/>
      <c r="F108" s="40"/>
      <c r="G108" s="40"/>
      <c r="H108" s="40"/>
      <c r="I108" s="40"/>
      <c r="J108" s="40"/>
    </row>
    <row r="109" spans="1:11" ht="12.75" customHeight="1" x14ac:dyDescent="0.25">
      <c r="A109" s="40"/>
      <c r="B109" s="40"/>
      <c r="C109" s="40"/>
      <c r="D109" s="40"/>
      <c r="E109" s="40"/>
      <c r="F109" s="40"/>
      <c r="G109" s="40"/>
      <c r="H109" s="40"/>
      <c r="I109" s="40"/>
      <c r="J109" s="40"/>
    </row>
    <row r="110" spans="1:11" ht="12.75" customHeight="1" x14ac:dyDescent="0.25">
      <c r="A110" s="40"/>
      <c r="B110" s="40"/>
      <c r="C110" s="40"/>
      <c r="D110" s="40"/>
      <c r="E110" s="40"/>
      <c r="F110" s="40"/>
      <c r="G110" s="40"/>
      <c r="H110" s="40"/>
      <c r="I110" s="40"/>
      <c r="J110" s="40"/>
    </row>
    <row r="111" spans="1:11" ht="12.75" customHeight="1" x14ac:dyDescent="0.25">
      <c r="A111" s="40"/>
      <c r="B111" s="40"/>
      <c r="C111" s="40"/>
      <c r="D111" s="40"/>
      <c r="E111" s="40"/>
      <c r="F111" s="40"/>
      <c r="G111" s="40"/>
      <c r="H111" s="40"/>
      <c r="I111" s="40"/>
      <c r="J111" s="40"/>
    </row>
    <row r="112" spans="1:11" ht="12.75" customHeight="1" x14ac:dyDescent="0.25">
      <c r="A112" s="40"/>
      <c r="B112" s="40"/>
      <c r="C112" s="40"/>
      <c r="D112" s="40"/>
      <c r="E112" s="40"/>
      <c r="F112" s="40"/>
      <c r="G112" s="40"/>
      <c r="H112" s="40"/>
      <c r="I112" s="40"/>
      <c r="J112" s="40"/>
    </row>
    <row r="113" spans="1:12" ht="12.75" customHeight="1" x14ac:dyDescent="0.25">
      <c r="A113" s="40"/>
      <c r="B113" s="40"/>
      <c r="C113" s="40"/>
      <c r="D113" s="40"/>
      <c r="E113" s="40"/>
      <c r="F113" s="40"/>
      <c r="G113" s="40"/>
      <c r="H113" s="40"/>
      <c r="I113" s="40"/>
      <c r="J113" s="40"/>
    </row>
    <row r="114" spans="1:12" ht="12.75" customHeight="1" x14ac:dyDescent="0.25">
      <c r="A114" s="40"/>
      <c r="B114" s="40"/>
      <c r="C114" s="40"/>
      <c r="D114" s="40"/>
      <c r="E114" s="40"/>
      <c r="F114" s="40"/>
      <c r="G114" s="40"/>
      <c r="H114" s="40"/>
      <c r="I114" s="40"/>
      <c r="J114" s="40"/>
    </row>
    <row r="115" spans="1:12" ht="12.75" customHeight="1" x14ac:dyDescent="0.25">
      <c r="A115" s="40"/>
      <c r="B115" s="40"/>
      <c r="C115" s="40"/>
      <c r="D115" s="40"/>
      <c r="E115" s="40"/>
      <c r="F115" s="40"/>
      <c r="G115" s="40"/>
      <c r="H115" s="40"/>
      <c r="I115" s="40"/>
      <c r="J115" s="40"/>
    </row>
    <row r="116" spans="1:12" ht="12.75" customHeight="1" x14ac:dyDescent="0.25">
      <c r="A116" s="40"/>
      <c r="B116" s="40"/>
      <c r="C116" s="40"/>
      <c r="D116" s="40"/>
      <c r="E116" s="40"/>
      <c r="F116" s="40"/>
      <c r="G116" s="40"/>
      <c r="H116" s="40"/>
      <c r="I116" s="40"/>
      <c r="J116" s="40"/>
    </row>
    <row r="117" spans="1:12" ht="12.75" customHeight="1" x14ac:dyDescent="0.25">
      <c r="A117" s="40"/>
      <c r="B117" s="40"/>
      <c r="C117" s="40"/>
      <c r="D117" s="40"/>
      <c r="E117" s="40"/>
      <c r="F117" s="40"/>
      <c r="G117" s="40"/>
      <c r="H117" s="40"/>
      <c r="I117" s="40"/>
      <c r="J117" s="40"/>
    </row>
    <row r="118" spans="1:12" ht="12.75" customHeight="1" x14ac:dyDescent="0.25">
      <c r="A118" s="40"/>
      <c r="B118" s="40"/>
      <c r="C118" s="40"/>
      <c r="D118" s="40"/>
      <c r="E118" s="40"/>
      <c r="F118" s="40"/>
      <c r="G118" s="40"/>
      <c r="H118" s="40"/>
      <c r="I118" s="40"/>
      <c r="J118" s="40"/>
    </row>
    <row r="119" spans="1:12" ht="12.75" customHeight="1" x14ac:dyDescent="0.25">
      <c r="A119" s="40"/>
      <c r="B119" s="40"/>
      <c r="C119" s="40"/>
      <c r="D119" s="40"/>
      <c r="E119" s="40"/>
      <c r="F119" s="40"/>
      <c r="G119" s="40"/>
      <c r="H119" s="40"/>
      <c r="I119" s="40"/>
      <c r="J119" s="40"/>
    </row>
    <row r="120" spans="1:12" ht="12.75" customHeight="1" x14ac:dyDescent="0.25">
      <c r="A120" s="40"/>
      <c r="B120" s="40"/>
      <c r="C120" s="40"/>
      <c r="D120" s="40"/>
      <c r="E120" s="40"/>
      <c r="F120" s="40"/>
      <c r="G120" s="40"/>
      <c r="H120" s="40"/>
      <c r="I120" s="40"/>
      <c r="J120" s="40"/>
    </row>
    <row r="121" spans="1:12" ht="12.75" customHeight="1" x14ac:dyDescent="0.25">
      <c r="A121" s="40"/>
      <c r="B121" s="40"/>
      <c r="C121" s="40"/>
      <c r="D121" s="40"/>
      <c r="E121" s="40"/>
      <c r="F121" s="40"/>
      <c r="G121" s="40"/>
      <c r="H121" s="40"/>
      <c r="I121" s="40"/>
      <c r="J121" s="40"/>
    </row>
    <row r="122" spans="1:12" ht="12.75" customHeight="1" x14ac:dyDescent="0.25">
      <c r="A122" s="40"/>
      <c r="B122" s="40"/>
      <c r="C122" s="40"/>
      <c r="D122" s="40"/>
      <c r="E122" s="40"/>
      <c r="F122" s="40"/>
      <c r="G122" s="40"/>
      <c r="H122" s="40"/>
      <c r="I122" s="40"/>
      <c r="J122" s="40"/>
    </row>
    <row r="123" spans="1:12" ht="12.75" customHeight="1" x14ac:dyDescent="0.25">
      <c r="A123" s="40"/>
      <c r="B123" s="40"/>
      <c r="C123" s="40"/>
      <c r="D123" s="40"/>
      <c r="E123" s="40"/>
      <c r="F123" s="40"/>
      <c r="G123" s="40"/>
      <c r="H123" s="40"/>
      <c r="I123" s="40"/>
      <c r="J123" s="40"/>
    </row>
    <row r="124" spans="1:12" ht="12.75" customHeight="1" x14ac:dyDescent="0.25">
      <c r="A124" s="40"/>
      <c r="B124" s="40"/>
      <c r="C124" s="40"/>
      <c r="D124" s="40"/>
      <c r="E124" s="40"/>
      <c r="F124" s="40"/>
      <c r="G124" s="40"/>
      <c r="H124" s="40"/>
      <c r="I124" s="40"/>
      <c r="J124" s="40"/>
    </row>
    <row r="125" spans="1:12" ht="15.6" x14ac:dyDescent="0.3">
      <c r="A125" s="372" t="s">
        <v>76</v>
      </c>
      <c r="B125" s="373"/>
      <c r="C125" s="373"/>
      <c r="D125" s="373"/>
      <c r="E125" s="373"/>
      <c r="F125" s="373"/>
      <c r="G125" s="373"/>
      <c r="H125" s="370" t="str">
        <f>'CONTACT INFORMATION'!$A$24</f>
        <v>Ventura</v>
      </c>
      <c r="I125" s="370"/>
      <c r="J125" s="371"/>
      <c r="K125" s="174"/>
      <c r="L125" s="174"/>
    </row>
    <row r="126" spans="1:12" ht="8.4" customHeight="1" x14ac:dyDescent="0.3">
      <c r="A126" s="51"/>
      <c r="B126" s="51"/>
      <c r="C126" s="51"/>
      <c r="D126" s="51"/>
      <c r="E126" s="51"/>
      <c r="F126" s="51"/>
      <c r="G126" s="51"/>
      <c r="H126" s="51"/>
      <c r="I126" s="51"/>
      <c r="J126" s="51"/>
      <c r="K126" s="174"/>
      <c r="L126" s="174"/>
    </row>
    <row r="127" spans="1:12" ht="13.8" x14ac:dyDescent="0.25">
      <c r="A127" s="460" t="s">
        <v>150</v>
      </c>
      <c r="B127" s="461"/>
      <c r="C127" s="461"/>
      <c r="D127" s="461"/>
      <c r="E127" s="461"/>
      <c r="F127" s="461"/>
      <c r="G127" s="461"/>
      <c r="H127" s="461"/>
      <c r="I127" s="461"/>
      <c r="J127" s="462"/>
    </row>
    <row r="128" spans="1:12" ht="12.75" customHeight="1" x14ac:dyDescent="0.25">
      <c r="A128" s="463" t="s">
        <v>151</v>
      </c>
      <c r="B128" s="464"/>
      <c r="C128" s="464"/>
      <c r="D128" s="465"/>
      <c r="E128" s="518" t="s">
        <v>152</v>
      </c>
      <c r="F128" s="519"/>
      <c r="G128" s="519"/>
      <c r="H128" s="519"/>
      <c r="I128" s="519"/>
      <c r="J128" s="520"/>
    </row>
    <row r="129" spans="1:16" ht="12.75" customHeight="1" x14ac:dyDescent="0.25">
      <c r="A129" s="472" t="s">
        <v>153</v>
      </c>
      <c r="B129" s="473"/>
      <c r="C129" s="473"/>
      <c r="D129" s="474"/>
      <c r="E129" s="536"/>
      <c r="F129" s="537"/>
      <c r="G129" s="537"/>
      <c r="H129" s="537"/>
      <c r="I129" s="537"/>
      <c r="J129" s="538"/>
    </row>
    <row r="130" spans="1:16" x14ac:dyDescent="0.25">
      <c r="A130" s="543" t="s">
        <v>154</v>
      </c>
      <c r="B130" s="544"/>
      <c r="C130" s="544"/>
      <c r="D130" s="544"/>
      <c r="E130" s="485" t="s">
        <v>104</v>
      </c>
      <c r="F130" s="486"/>
      <c r="G130" s="486"/>
      <c r="H130" s="486"/>
      <c r="I130" s="486"/>
      <c r="J130" s="487"/>
    </row>
    <row r="131" spans="1:16" ht="27" customHeight="1" x14ac:dyDescent="0.25">
      <c r="A131" s="52"/>
      <c r="B131" s="53"/>
      <c r="C131" s="53"/>
      <c r="D131" s="53"/>
      <c r="E131" s="481" t="s">
        <v>155</v>
      </c>
      <c r="F131" s="482"/>
      <c r="G131" s="481" t="s">
        <v>156</v>
      </c>
      <c r="H131" s="482"/>
      <c r="I131" s="483" t="s">
        <v>157</v>
      </c>
      <c r="J131" s="484"/>
    </row>
    <row r="132" spans="1:16" x14ac:dyDescent="0.25">
      <c r="A132" s="548" t="s">
        <v>158</v>
      </c>
      <c r="B132" s="548"/>
      <c r="C132" s="548"/>
      <c r="D132" s="548"/>
      <c r="E132" s="458"/>
      <c r="F132" s="458"/>
      <c r="G132" s="458"/>
      <c r="H132" s="458"/>
      <c r="I132" s="459"/>
      <c r="J132" s="459"/>
    </row>
    <row r="133" spans="1:16" x14ac:dyDescent="0.25">
      <c r="A133" s="545" t="s">
        <v>159</v>
      </c>
      <c r="B133" s="545"/>
      <c r="C133" s="545"/>
      <c r="D133" s="545"/>
      <c r="E133" s="440"/>
      <c r="F133" s="440"/>
      <c r="G133" s="441"/>
      <c r="H133" s="441"/>
      <c r="I133" s="457"/>
      <c r="J133" s="457"/>
    </row>
    <row r="134" spans="1:16" x14ac:dyDescent="0.25">
      <c r="A134" s="548" t="s">
        <v>160</v>
      </c>
      <c r="B134" s="548"/>
      <c r="C134" s="548"/>
      <c r="D134" s="548"/>
      <c r="E134" s="458"/>
      <c r="F134" s="458"/>
      <c r="G134" s="458"/>
      <c r="H134" s="458"/>
      <c r="I134" s="459"/>
      <c r="J134" s="459"/>
    </row>
    <row r="135" spans="1:16" x14ac:dyDescent="0.25">
      <c r="A135" s="545" t="s">
        <v>161</v>
      </c>
      <c r="B135" s="545"/>
      <c r="C135" s="545"/>
      <c r="D135" s="545"/>
      <c r="E135" s="508">
        <v>500000</v>
      </c>
      <c r="F135" s="509"/>
      <c r="G135" s="441"/>
      <c r="H135" s="441"/>
      <c r="I135" s="457"/>
      <c r="J135" s="457"/>
    </row>
    <row r="136" spans="1:16" x14ac:dyDescent="0.25">
      <c r="A136" s="548" t="s">
        <v>162</v>
      </c>
      <c r="B136" s="548"/>
      <c r="C136" s="548"/>
      <c r="D136" s="548"/>
      <c r="E136" s="458"/>
      <c r="F136" s="458"/>
      <c r="G136" s="458"/>
      <c r="H136" s="458"/>
      <c r="I136" s="459"/>
      <c r="J136" s="459"/>
    </row>
    <row r="137" spans="1:16" x14ac:dyDescent="0.25">
      <c r="A137" s="545" t="s">
        <v>163</v>
      </c>
      <c r="B137" s="545"/>
      <c r="C137" s="545"/>
      <c r="D137" s="545"/>
      <c r="E137" s="508">
        <v>33165</v>
      </c>
      <c r="F137" s="509"/>
      <c r="G137" s="441"/>
      <c r="H137" s="441"/>
      <c r="I137" s="457"/>
      <c r="J137" s="457"/>
    </row>
    <row r="138" spans="1:16" x14ac:dyDescent="0.25">
      <c r="A138" s="547" t="s">
        <v>164</v>
      </c>
      <c r="B138" s="548"/>
      <c r="C138" s="548"/>
      <c r="D138" s="548"/>
      <c r="E138" s="452"/>
      <c r="F138" s="452"/>
      <c r="G138" s="452"/>
      <c r="H138" s="452"/>
      <c r="I138" s="453"/>
      <c r="J138" s="453"/>
    </row>
    <row r="139" spans="1:16" x14ac:dyDescent="0.25">
      <c r="A139" s="566"/>
      <c r="B139" s="438"/>
      <c r="C139" s="438"/>
      <c r="D139" s="439"/>
      <c r="E139" s="440"/>
      <c r="F139" s="440"/>
      <c r="G139" s="441"/>
      <c r="H139" s="441"/>
      <c r="I139" s="441"/>
      <c r="J139" s="441"/>
    </row>
    <row r="140" spans="1:16" x14ac:dyDescent="0.25">
      <c r="A140" s="566"/>
      <c r="B140" s="438"/>
      <c r="C140" s="438"/>
      <c r="D140" s="439"/>
      <c r="E140" s="440"/>
      <c r="F140" s="440"/>
      <c r="G140" s="441"/>
      <c r="H140" s="441"/>
      <c r="I140" s="441"/>
      <c r="J140" s="441"/>
    </row>
    <row r="141" spans="1:16" ht="12.75" customHeight="1" x14ac:dyDescent="0.25">
      <c r="A141" s="566"/>
      <c r="B141" s="438"/>
      <c r="C141" s="438"/>
      <c r="D141" s="439"/>
      <c r="E141" s="440"/>
      <c r="F141" s="440"/>
      <c r="G141" s="441"/>
      <c r="H141" s="441"/>
      <c r="I141" s="441"/>
      <c r="J141" s="441"/>
      <c r="P141" s="195"/>
    </row>
    <row r="142" spans="1:16" x14ac:dyDescent="0.25">
      <c r="A142" s="561" t="s">
        <v>165</v>
      </c>
      <c r="B142" s="561"/>
      <c r="C142" s="561"/>
      <c r="D142" s="561"/>
      <c r="E142" s="445">
        <f>SUM(E132:E141)</f>
        <v>533165</v>
      </c>
      <c r="F142" s="445"/>
      <c r="G142" s="445">
        <f>SUM(G132:G141)</f>
        <v>0</v>
      </c>
      <c r="H142" s="445"/>
      <c r="I142" s="445">
        <f>SUM(I132:I141)</f>
        <v>0</v>
      </c>
      <c r="J142" s="445"/>
      <c r="L142" s="215"/>
    </row>
    <row r="143" spans="1:16" ht="14.25" customHeight="1" x14ac:dyDescent="0.25">
      <c r="A143" s="446" t="s">
        <v>166</v>
      </c>
      <c r="B143" s="447"/>
      <c r="C143" s="447"/>
      <c r="D143" s="447"/>
      <c r="E143" s="447"/>
      <c r="F143" s="447"/>
      <c r="G143" s="447"/>
      <c r="H143" s="447"/>
      <c r="I143" s="447"/>
      <c r="J143" s="448"/>
      <c r="L143" s="215"/>
    </row>
    <row r="144" spans="1:16" ht="14.25" customHeight="1" x14ac:dyDescent="0.25">
      <c r="A144" s="423" t="s">
        <v>167</v>
      </c>
      <c r="B144" s="424"/>
      <c r="C144" s="424"/>
      <c r="D144" s="424"/>
      <c r="E144" s="424"/>
      <c r="F144" s="424"/>
      <c r="G144" s="424"/>
      <c r="H144" s="424"/>
      <c r="I144" s="424"/>
      <c r="J144" s="425"/>
      <c r="L144" s="215"/>
    </row>
    <row r="145" spans="1:12" ht="14.25" customHeight="1" x14ac:dyDescent="0.25">
      <c r="A145" s="423" t="s">
        <v>168</v>
      </c>
      <c r="B145" s="424"/>
      <c r="C145" s="424"/>
      <c r="D145" s="424"/>
      <c r="E145" s="424"/>
      <c r="F145" s="424"/>
      <c r="G145" s="424"/>
      <c r="H145" s="424"/>
      <c r="I145" s="424"/>
      <c r="J145" s="425"/>
      <c r="L145" s="215"/>
    </row>
    <row r="146" spans="1:12" ht="14.25" customHeight="1" x14ac:dyDescent="0.25">
      <c r="A146" s="426" t="s">
        <v>169</v>
      </c>
      <c r="B146" s="427"/>
      <c r="C146" s="427"/>
      <c r="D146" s="427"/>
      <c r="E146" s="427"/>
      <c r="F146" s="427"/>
      <c r="G146" s="427"/>
      <c r="H146" s="427"/>
      <c r="I146" s="427"/>
      <c r="J146" s="428"/>
      <c r="L146" s="215"/>
    </row>
    <row r="147" spans="1:12" ht="15" customHeight="1" x14ac:dyDescent="0.25">
      <c r="A147" s="552" t="s">
        <v>170</v>
      </c>
      <c r="B147" s="553"/>
      <c r="C147" s="553"/>
      <c r="D147" s="553"/>
      <c r="E147" s="553"/>
      <c r="F147" s="553"/>
      <c r="G147" s="553"/>
      <c r="H147" s="553"/>
      <c r="I147" s="553"/>
      <c r="J147" s="554"/>
      <c r="L147" s="215"/>
    </row>
    <row r="148" spans="1:12" ht="15" customHeight="1" x14ac:dyDescent="0.25">
      <c r="A148" s="555"/>
      <c r="B148" s="556"/>
      <c r="C148" s="556"/>
      <c r="D148" s="556"/>
      <c r="E148" s="556"/>
      <c r="F148" s="556"/>
      <c r="G148" s="556"/>
      <c r="H148" s="556"/>
      <c r="I148" s="556"/>
      <c r="J148" s="557"/>
    </row>
    <row r="149" spans="1:12" ht="15" customHeight="1" x14ac:dyDescent="0.25">
      <c r="A149" s="555"/>
      <c r="B149" s="556"/>
      <c r="C149" s="556"/>
      <c r="D149" s="556"/>
      <c r="E149" s="556"/>
      <c r="F149" s="556"/>
      <c r="G149" s="556"/>
      <c r="H149" s="556"/>
      <c r="I149" s="556"/>
      <c r="J149" s="557"/>
    </row>
    <row r="150" spans="1:12" ht="15" customHeight="1" x14ac:dyDescent="0.25">
      <c r="A150" s="555"/>
      <c r="B150" s="556"/>
      <c r="C150" s="556"/>
      <c r="D150" s="556"/>
      <c r="E150" s="556"/>
      <c r="F150" s="556"/>
      <c r="G150" s="556"/>
      <c r="H150" s="556"/>
      <c r="I150" s="556"/>
      <c r="J150" s="557"/>
    </row>
    <row r="151" spans="1:12" ht="15" customHeight="1" x14ac:dyDescent="0.25">
      <c r="A151" s="555"/>
      <c r="B151" s="556"/>
      <c r="C151" s="556"/>
      <c r="D151" s="556"/>
      <c r="E151" s="556"/>
      <c r="F151" s="556"/>
      <c r="G151" s="556"/>
      <c r="H151" s="556"/>
      <c r="I151" s="556"/>
      <c r="J151" s="557"/>
    </row>
    <row r="152" spans="1:12" ht="15" customHeight="1" x14ac:dyDescent="0.25">
      <c r="A152" s="555"/>
      <c r="B152" s="556"/>
      <c r="C152" s="556"/>
      <c r="D152" s="556"/>
      <c r="E152" s="556"/>
      <c r="F152" s="556"/>
      <c r="G152" s="556"/>
      <c r="H152" s="556"/>
      <c r="I152" s="556"/>
      <c r="J152" s="557"/>
    </row>
    <row r="153" spans="1:12" ht="15" customHeight="1" x14ac:dyDescent="0.25">
      <c r="A153" s="555"/>
      <c r="B153" s="556"/>
      <c r="C153" s="556"/>
      <c r="D153" s="556"/>
      <c r="E153" s="556"/>
      <c r="F153" s="556"/>
      <c r="G153" s="556"/>
      <c r="H153" s="556"/>
      <c r="I153" s="556"/>
      <c r="J153" s="557"/>
    </row>
    <row r="154" spans="1:12" ht="15" customHeight="1" x14ac:dyDescent="0.25">
      <c r="A154" s="555"/>
      <c r="B154" s="556"/>
      <c r="C154" s="556"/>
      <c r="D154" s="556"/>
      <c r="E154" s="556"/>
      <c r="F154" s="556"/>
      <c r="G154" s="556"/>
      <c r="H154" s="556"/>
      <c r="I154" s="556"/>
      <c r="J154" s="557"/>
    </row>
    <row r="155" spans="1:12" ht="15" customHeight="1" x14ac:dyDescent="0.25">
      <c r="A155" s="555"/>
      <c r="B155" s="556"/>
      <c r="C155" s="556"/>
      <c r="D155" s="556"/>
      <c r="E155" s="556"/>
      <c r="F155" s="556"/>
      <c r="G155" s="556"/>
      <c r="H155" s="556"/>
      <c r="I155" s="556"/>
      <c r="J155" s="557"/>
    </row>
    <row r="156" spans="1:12" ht="15" customHeight="1" x14ac:dyDescent="0.25">
      <c r="A156" s="555"/>
      <c r="B156" s="556"/>
      <c r="C156" s="556"/>
      <c r="D156" s="556"/>
      <c r="E156" s="556"/>
      <c r="F156" s="556"/>
      <c r="G156" s="556"/>
      <c r="H156" s="556"/>
      <c r="I156" s="556"/>
      <c r="J156" s="557"/>
    </row>
    <row r="157" spans="1:12" ht="15" customHeight="1" x14ac:dyDescent="0.25">
      <c r="A157" s="555"/>
      <c r="B157" s="556"/>
      <c r="C157" s="556"/>
      <c r="D157" s="556"/>
      <c r="E157" s="556"/>
      <c r="F157" s="556"/>
      <c r="G157" s="556"/>
      <c r="H157" s="556"/>
      <c r="I157" s="556"/>
      <c r="J157" s="557"/>
      <c r="L157" s="215"/>
    </row>
    <row r="158" spans="1:12" ht="15" customHeight="1" x14ac:dyDescent="0.25">
      <c r="A158" s="555"/>
      <c r="B158" s="556"/>
      <c r="C158" s="556"/>
      <c r="D158" s="556"/>
      <c r="E158" s="556"/>
      <c r="F158" s="556"/>
      <c r="G158" s="556"/>
      <c r="H158" s="556"/>
      <c r="I158" s="556"/>
      <c r="J158" s="557"/>
      <c r="L158" s="215"/>
    </row>
    <row r="159" spans="1:12" ht="15" customHeight="1" x14ac:dyDescent="0.25">
      <c r="A159" s="555"/>
      <c r="B159" s="556"/>
      <c r="C159" s="556"/>
      <c r="D159" s="556"/>
      <c r="E159" s="556"/>
      <c r="F159" s="556"/>
      <c r="G159" s="556"/>
      <c r="H159" s="556"/>
      <c r="I159" s="556"/>
      <c r="J159" s="557"/>
      <c r="L159" s="215"/>
    </row>
    <row r="160" spans="1:12" ht="15" customHeight="1" x14ac:dyDescent="0.25">
      <c r="A160" s="555"/>
      <c r="B160" s="556"/>
      <c r="C160" s="556"/>
      <c r="D160" s="556"/>
      <c r="E160" s="556"/>
      <c r="F160" s="556"/>
      <c r="G160" s="556"/>
      <c r="H160" s="556"/>
      <c r="I160" s="556"/>
      <c r="J160" s="557"/>
      <c r="L160" s="215"/>
    </row>
    <row r="161" spans="1:12" ht="15" customHeight="1" x14ac:dyDescent="0.25">
      <c r="A161" s="555"/>
      <c r="B161" s="556"/>
      <c r="C161" s="556"/>
      <c r="D161" s="556"/>
      <c r="E161" s="556"/>
      <c r="F161" s="556"/>
      <c r="G161" s="556"/>
      <c r="H161" s="556"/>
      <c r="I161" s="556"/>
      <c r="J161" s="557"/>
      <c r="L161" s="215"/>
    </row>
    <row r="162" spans="1:12" ht="15" customHeight="1" x14ac:dyDescent="0.25">
      <c r="A162" s="555"/>
      <c r="B162" s="556"/>
      <c r="C162" s="556"/>
      <c r="D162" s="556"/>
      <c r="E162" s="556"/>
      <c r="F162" s="556"/>
      <c r="G162" s="556"/>
      <c r="H162" s="556"/>
      <c r="I162" s="556"/>
      <c r="J162" s="557"/>
      <c r="L162" s="215"/>
    </row>
    <row r="163" spans="1:12" ht="15" customHeight="1" x14ac:dyDescent="0.25">
      <c r="A163" s="555"/>
      <c r="B163" s="556"/>
      <c r="C163" s="556"/>
      <c r="D163" s="556"/>
      <c r="E163" s="556"/>
      <c r="F163" s="556"/>
      <c r="G163" s="556"/>
      <c r="H163" s="556"/>
      <c r="I163" s="556"/>
      <c r="J163" s="557"/>
      <c r="L163" s="215"/>
    </row>
    <row r="164" spans="1:12" ht="15" customHeight="1" x14ac:dyDescent="0.25">
      <c r="A164" s="555"/>
      <c r="B164" s="556"/>
      <c r="C164" s="556"/>
      <c r="D164" s="556"/>
      <c r="E164" s="556"/>
      <c r="F164" s="556"/>
      <c r="G164" s="556"/>
      <c r="H164" s="556"/>
      <c r="I164" s="556"/>
      <c r="J164" s="557"/>
      <c r="L164" s="215"/>
    </row>
    <row r="165" spans="1:12" ht="15" customHeight="1" x14ac:dyDescent="0.25">
      <c r="A165" s="555"/>
      <c r="B165" s="556"/>
      <c r="C165" s="556"/>
      <c r="D165" s="556"/>
      <c r="E165" s="556"/>
      <c r="F165" s="556"/>
      <c r="G165" s="556"/>
      <c r="H165" s="556"/>
      <c r="I165" s="556"/>
      <c r="J165" s="557"/>
      <c r="L165" s="215"/>
    </row>
    <row r="166" spans="1:12" ht="15" customHeight="1" x14ac:dyDescent="0.25">
      <c r="A166" s="555"/>
      <c r="B166" s="556"/>
      <c r="C166" s="556"/>
      <c r="D166" s="556"/>
      <c r="E166" s="556"/>
      <c r="F166" s="556"/>
      <c r="G166" s="556"/>
      <c r="H166" s="556"/>
      <c r="I166" s="556"/>
      <c r="J166" s="557"/>
      <c r="L166" s="215"/>
    </row>
    <row r="167" spans="1:12" ht="15" customHeight="1" x14ac:dyDescent="0.25">
      <c r="A167" s="555"/>
      <c r="B167" s="556"/>
      <c r="C167" s="556"/>
      <c r="D167" s="556"/>
      <c r="E167" s="556"/>
      <c r="F167" s="556"/>
      <c r="G167" s="556"/>
      <c r="H167" s="556"/>
      <c r="I167" s="556"/>
      <c r="J167" s="557"/>
      <c r="L167" s="215"/>
    </row>
    <row r="168" spans="1:12" ht="15" customHeight="1" x14ac:dyDescent="0.25">
      <c r="A168" s="555"/>
      <c r="B168" s="556"/>
      <c r="C168" s="556"/>
      <c r="D168" s="556"/>
      <c r="E168" s="556"/>
      <c r="F168" s="556"/>
      <c r="G168" s="556"/>
      <c r="H168" s="556"/>
      <c r="I168" s="556"/>
      <c r="J168" s="557"/>
      <c r="L168" s="215"/>
    </row>
    <row r="169" spans="1:12" ht="15" customHeight="1" x14ac:dyDescent="0.25">
      <c r="A169" s="555"/>
      <c r="B169" s="556"/>
      <c r="C169" s="556"/>
      <c r="D169" s="556"/>
      <c r="E169" s="556"/>
      <c r="F169" s="556"/>
      <c r="G169" s="556"/>
      <c r="H169" s="556"/>
      <c r="I169" s="556"/>
      <c r="J169" s="557"/>
      <c r="L169" s="215"/>
    </row>
    <row r="170" spans="1:12" ht="15" customHeight="1" x14ac:dyDescent="0.25">
      <c r="A170" s="555"/>
      <c r="B170" s="556"/>
      <c r="C170" s="556"/>
      <c r="D170" s="556"/>
      <c r="E170" s="556"/>
      <c r="F170" s="556"/>
      <c r="G170" s="556"/>
      <c r="H170" s="556"/>
      <c r="I170" s="556"/>
      <c r="J170" s="557"/>
      <c r="K170" s="174"/>
      <c r="L170" s="174"/>
    </row>
    <row r="171" spans="1:12" ht="15" customHeight="1" x14ac:dyDescent="0.25">
      <c r="A171" s="555"/>
      <c r="B171" s="556"/>
      <c r="C171" s="556"/>
      <c r="D171" s="556"/>
      <c r="E171" s="556"/>
      <c r="F171" s="556"/>
      <c r="G171" s="556"/>
      <c r="H171" s="556"/>
      <c r="I171" s="556"/>
      <c r="J171" s="557"/>
    </row>
    <row r="172" spans="1:12" ht="15" customHeight="1" x14ac:dyDescent="0.25">
      <c r="A172" s="555"/>
      <c r="B172" s="556"/>
      <c r="C172" s="556"/>
      <c r="D172" s="556"/>
      <c r="E172" s="556"/>
      <c r="F172" s="556"/>
      <c r="G172" s="556"/>
      <c r="H172" s="556"/>
      <c r="I172" s="556"/>
      <c r="J172" s="557"/>
    </row>
    <row r="173" spans="1:12" ht="15" customHeight="1" x14ac:dyDescent="0.25">
      <c r="A173" s="555"/>
      <c r="B173" s="556"/>
      <c r="C173" s="556"/>
      <c r="D173" s="556"/>
      <c r="E173" s="556"/>
      <c r="F173" s="556"/>
      <c r="G173" s="556"/>
      <c r="H173" s="556"/>
      <c r="I173" s="556"/>
      <c r="J173" s="557"/>
    </row>
    <row r="174" spans="1:12" ht="15" customHeight="1" x14ac:dyDescent="0.25">
      <c r="A174" s="558"/>
      <c r="B174" s="559"/>
      <c r="C174" s="559"/>
      <c r="D174" s="559"/>
      <c r="E174" s="559"/>
      <c r="F174" s="559"/>
      <c r="G174" s="559"/>
      <c r="H174" s="559"/>
      <c r="I174" s="559"/>
      <c r="J174" s="560"/>
    </row>
    <row r="175" spans="1:12" ht="15" customHeight="1" x14ac:dyDescent="0.25">
      <c r="A175" s="172"/>
      <c r="B175" s="172"/>
      <c r="C175" s="172"/>
      <c r="D175" s="172"/>
      <c r="E175" s="172"/>
      <c r="F175" s="172"/>
      <c r="G175" s="172"/>
      <c r="H175" s="172"/>
      <c r="I175" s="172"/>
      <c r="J175" s="172"/>
    </row>
    <row r="176" spans="1:12" ht="15" customHeight="1" x14ac:dyDescent="0.25">
      <c r="A176" s="172"/>
      <c r="B176" s="172"/>
      <c r="C176" s="172"/>
      <c r="D176" s="172"/>
      <c r="E176" s="172"/>
      <c r="F176" s="172"/>
      <c r="G176" s="172"/>
      <c r="H176" s="172"/>
      <c r="I176" s="172"/>
      <c r="J176" s="172"/>
    </row>
    <row r="177" spans="1:20" ht="15.6" x14ac:dyDescent="0.3">
      <c r="A177" s="372" t="s">
        <v>76</v>
      </c>
      <c r="B177" s="373"/>
      <c r="C177" s="373"/>
      <c r="D177" s="373"/>
      <c r="E177" s="373"/>
      <c r="F177" s="373"/>
      <c r="G177" s="373"/>
      <c r="H177" s="370" t="str">
        <f>'CONTACT INFORMATION'!$A$24</f>
        <v>Ventura</v>
      </c>
      <c r="I177" s="370"/>
      <c r="J177" s="371"/>
      <c r="K177" s="196"/>
      <c r="L177" s="196"/>
      <c r="M177" s="196"/>
      <c r="N177" s="196"/>
      <c r="O177" s="196"/>
      <c r="P177" s="196"/>
      <c r="Q177" s="196"/>
      <c r="R177" s="196"/>
      <c r="S177" s="196"/>
      <c r="T177" s="147"/>
    </row>
    <row r="178" spans="1:20" ht="8.1" customHeight="1" x14ac:dyDescent="0.25">
      <c r="A178" s="152"/>
      <c r="B178" s="152"/>
      <c r="C178" s="152"/>
      <c r="D178" s="152"/>
      <c r="E178" s="152"/>
      <c r="F178" s="152"/>
      <c r="G178" s="152"/>
      <c r="H178" s="152"/>
      <c r="I178" s="152"/>
      <c r="J178" s="152"/>
    </row>
    <row r="179" spans="1:20" ht="13.8" x14ac:dyDescent="0.25">
      <c r="A179" s="460" t="s">
        <v>171</v>
      </c>
      <c r="B179" s="461"/>
      <c r="C179" s="461"/>
      <c r="D179" s="461"/>
      <c r="E179" s="461"/>
      <c r="F179" s="461"/>
      <c r="G179" s="461"/>
      <c r="H179" s="461"/>
      <c r="I179" s="461"/>
      <c r="J179" s="462"/>
    </row>
    <row r="180" spans="1:20" x14ac:dyDescent="0.25">
      <c r="A180" s="463" t="s">
        <v>151</v>
      </c>
      <c r="B180" s="464"/>
      <c r="C180" s="464"/>
      <c r="D180" s="465"/>
      <c r="E180" s="518" t="s">
        <v>172</v>
      </c>
      <c r="F180" s="519"/>
      <c r="G180" s="519"/>
      <c r="H180" s="519"/>
      <c r="I180" s="519"/>
      <c r="J180" s="520"/>
    </row>
    <row r="181" spans="1:20" x14ac:dyDescent="0.25">
      <c r="A181" s="472" t="s">
        <v>153</v>
      </c>
      <c r="B181" s="473"/>
      <c r="C181" s="473"/>
      <c r="D181" s="474"/>
      <c r="E181" s="521" t="s">
        <v>173</v>
      </c>
      <c r="F181" s="522"/>
      <c r="G181" s="522"/>
      <c r="H181" s="522"/>
      <c r="I181" s="522"/>
      <c r="J181" s="523"/>
    </row>
    <row r="182" spans="1:20" x14ac:dyDescent="0.25">
      <c r="A182" s="543" t="s">
        <v>154</v>
      </c>
      <c r="B182" s="544"/>
      <c r="C182" s="544"/>
      <c r="D182" s="544"/>
      <c r="E182" s="485" t="s">
        <v>128</v>
      </c>
      <c r="F182" s="486"/>
      <c r="G182" s="486"/>
      <c r="H182" s="486"/>
      <c r="I182" s="486"/>
      <c r="J182" s="487"/>
    </row>
    <row r="183" spans="1:20" s="147" customFormat="1" ht="27" customHeight="1" x14ac:dyDescent="0.25">
      <c r="A183" s="146"/>
      <c r="B183" s="220"/>
      <c r="C183" s="220"/>
      <c r="D183" s="220"/>
      <c r="E183" s="481" t="s">
        <v>155</v>
      </c>
      <c r="F183" s="482"/>
      <c r="G183" s="481" t="s">
        <v>156</v>
      </c>
      <c r="H183" s="482"/>
      <c r="I183" s="483" t="s">
        <v>157</v>
      </c>
      <c r="J183" s="484"/>
      <c r="K183" s="33"/>
      <c r="L183" s="33"/>
      <c r="M183" s="33"/>
      <c r="N183" s="33"/>
      <c r="O183" s="33"/>
      <c r="P183" s="33"/>
      <c r="Q183" s="33"/>
      <c r="R183" s="33"/>
      <c r="S183" s="33"/>
      <c r="T183"/>
    </row>
    <row r="184" spans="1:20" x14ac:dyDescent="0.25">
      <c r="A184" s="449" t="s">
        <v>158</v>
      </c>
      <c r="B184" s="450"/>
      <c r="C184" s="450"/>
      <c r="D184" s="451"/>
      <c r="E184" s="551">
        <v>701082</v>
      </c>
      <c r="F184" s="511"/>
      <c r="G184" s="458"/>
      <c r="H184" s="458"/>
      <c r="I184" s="459"/>
      <c r="J184" s="459"/>
    </row>
    <row r="185" spans="1:20" x14ac:dyDescent="0.25">
      <c r="A185" s="454" t="s">
        <v>159</v>
      </c>
      <c r="B185" s="455"/>
      <c r="C185" s="455"/>
      <c r="D185" s="456"/>
      <c r="E185" s="508">
        <v>8291</v>
      </c>
      <c r="F185" s="509"/>
      <c r="G185" s="441"/>
      <c r="H185" s="441"/>
      <c r="I185" s="457"/>
      <c r="J185" s="457"/>
    </row>
    <row r="186" spans="1:20" x14ac:dyDescent="0.25">
      <c r="A186" s="449" t="s">
        <v>160</v>
      </c>
      <c r="B186" s="450"/>
      <c r="C186" s="450"/>
      <c r="D186" s="451"/>
      <c r="E186" s="510" t="s">
        <v>174</v>
      </c>
      <c r="F186" s="511"/>
      <c r="G186" s="458"/>
      <c r="H186" s="458"/>
      <c r="I186" s="459"/>
      <c r="J186" s="459"/>
    </row>
    <row r="187" spans="1:20" x14ac:dyDescent="0.25">
      <c r="A187" s="454" t="s">
        <v>161</v>
      </c>
      <c r="B187" s="455"/>
      <c r="C187" s="455"/>
      <c r="D187" s="456"/>
      <c r="E187" s="562" t="s">
        <v>174</v>
      </c>
      <c r="F187" s="509"/>
      <c r="G187" s="441"/>
      <c r="H187" s="441"/>
      <c r="I187" s="457"/>
      <c r="J187" s="457"/>
    </row>
    <row r="188" spans="1:20" x14ac:dyDescent="0.25">
      <c r="A188" s="449" t="s">
        <v>162</v>
      </c>
      <c r="B188" s="450"/>
      <c r="C188" s="450"/>
      <c r="D188" s="451"/>
      <c r="E188" s="510" t="s">
        <v>174</v>
      </c>
      <c r="F188" s="511"/>
      <c r="G188" s="458"/>
      <c r="H188" s="458"/>
      <c r="I188" s="459"/>
      <c r="J188" s="459"/>
    </row>
    <row r="189" spans="1:20" x14ac:dyDescent="0.25">
      <c r="A189" s="454" t="s">
        <v>163</v>
      </c>
      <c r="B189" s="455"/>
      <c r="C189" s="455"/>
      <c r="D189" s="456"/>
      <c r="E189" s="508">
        <v>26389</v>
      </c>
      <c r="F189" s="509"/>
      <c r="G189" s="441"/>
      <c r="H189" s="441"/>
      <c r="I189" s="457"/>
      <c r="J189" s="457"/>
    </row>
    <row r="190" spans="1:20" x14ac:dyDescent="0.25">
      <c r="A190" s="449" t="s">
        <v>164</v>
      </c>
      <c r="B190" s="450"/>
      <c r="C190" s="450"/>
      <c r="D190" s="451"/>
      <c r="E190" s="452"/>
      <c r="F190" s="452"/>
      <c r="G190" s="452"/>
      <c r="H190" s="452"/>
      <c r="I190" s="453"/>
      <c r="J190" s="453"/>
    </row>
    <row r="191" spans="1:20" x14ac:dyDescent="0.25">
      <c r="A191" s="437"/>
      <c r="B191" s="438"/>
      <c r="C191" s="438"/>
      <c r="D191" s="439"/>
      <c r="E191" s="440"/>
      <c r="F191" s="440"/>
      <c r="G191" s="441"/>
      <c r="H191" s="441"/>
      <c r="I191" s="441"/>
      <c r="J191" s="441"/>
    </row>
    <row r="192" spans="1:20" x14ac:dyDescent="0.25">
      <c r="A192" s="437"/>
      <c r="B192" s="438"/>
      <c r="C192" s="438"/>
      <c r="D192" s="439"/>
      <c r="E192" s="440"/>
      <c r="F192" s="440"/>
      <c r="G192" s="441"/>
      <c r="H192" s="441"/>
      <c r="I192" s="441"/>
      <c r="J192" s="441"/>
    </row>
    <row r="193" spans="1:19" ht="12.75" customHeight="1" x14ac:dyDescent="0.25">
      <c r="A193" s="437"/>
      <c r="B193" s="438"/>
      <c r="C193" s="438"/>
      <c r="D193" s="439"/>
      <c r="E193" s="440"/>
      <c r="F193" s="440"/>
      <c r="G193" s="441"/>
      <c r="H193" s="441"/>
      <c r="I193" s="441"/>
      <c r="J193" s="441"/>
    </row>
    <row r="194" spans="1:19" x14ac:dyDescent="0.25">
      <c r="A194" s="442" t="s">
        <v>165</v>
      </c>
      <c r="B194" s="443"/>
      <c r="C194" s="443"/>
      <c r="D194" s="444"/>
      <c r="E194" s="445">
        <f>SUM(E184:E193)</f>
        <v>735762</v>
      </c>
      <c r="F194" s="445"/>
      <c r="G194" s="445">
        <f>SUM(G184:G193)</f>
        <v>0</v>
      </c>
      <c r="H194" s="445"/>
      <c r="I194" s="445">
        <f>SUM(I184:I193)</f>
        <v>0</v>
      </c>
      <c r="J194" s="445"/>
    </row>
    <row r="195" spans="1:19" s="1" customFormat="1" ht="14.25" customHeight="1" x14ac:dyDescent="0.25">
      <c r="A195" s="446" t="s">
        <v>166</v>
      </c>
      <c r="B195" s="447"/>
      <c r="C195" s="447"/>
      <c r="D195" s="447"/>
      <c r="E195" s="447"/>
      <c r="F195" s="447"/>
      <c r="G195" s="447"/>
      <c r="H195" s="447"/>
      <c r="I195" s="447"/>
      <c r="J195" s="448"/>
      <c r="K195" s="186"/>
      <c r="L195" s="186"/>
      <c r="M195" s="186"/>
      <c r="N195" s="186"/>
      <c r="O195" s="186"/>
      <c r="P195" s="186"/>
      <c r="Q195" s="186"/>
      <c r="R195" s="186"/>
      <c r="S195" s="186"/>
    </row>
    <row r="196" spans="1:19" s="1" customFormat="1" ht="14.25" customHeight="1" x14ac:dyDescent="0.25">
      <c r="A196" s="423" t="s">
        <v>167</v>
      </c>
      <c r="B196" s="424"/>
      <c r="C196" s="424"/>
      <c r="D196" s="424"/>
      <c r="E196" s="424"/>
      <c r="F196" s="424"/>
      <c r="G196" s="424"/>
      <c r="H196" s="424"/>
      <c r="I196" s="424"/>
      <c r="J196" s="425"/>
      <c r="K196" s="186"/>
      <c r="L196" s="186"/>
      <c r="M196" s="186"/>
      <c r="N196" s="186"/>
      <c r="O196" s="186"/>
      <c r="P196" s="186"/>
      <c r="Q196" s="186"/>
      <c r="R196" s="186"/>
      <c r="S196" s="186"/>
    </row>
    <row r="197" spans="1:19" ht="14.25" customHeight="1" x14ac:dyDescent="0.25">
      <c r="A197" s="423" t="s">
        <v>168</v>
      </c>
      <c r="B197" s="424"/>
      <c r="C197" s="424"/>
      <c r="D197" s="424"/>
      <c r="E197" s="424"/>
      <c r="F197" s="424"/>
      <c r="G197" s="424"/>
      <c r="H197" s="424"/>
      <c r="I197" s="424"/>
      <c r="J197" s="425"/>
    </row>
    <row r="198" spans="1:19" ht="14.25" customHeight="1" x14ac:dyDescent="0.25">
      <c r="A198" s="426" t="s">
        <v>169</v>
      </c>
      <c r="B198" s="427"/>
      <c r="C198" s="427"/>
      <c r="D198" s="427"/>
      <c r="E198" s="427"/>
      <c r="F198" s="427"/>
      <c r="G198" s="427"/>
      <c r="H198" s="427"/>
      <c r="I198" s="427"/>
      <c r="J198" s="428"/>
    </row>
    <row r="199" spans="1:19" ht="15.75" customHeight="1" x14ac:dyDescent="0.25">
      <c r="A199" s="316" t="s">
        <v>175</v>
      </c>
      <c r="B199" s="429"/>
      <c r="C199" s="429"/>
      <c r="D199" s="429"/>
      <c r="E199" s="429"/>
      <c r="F199" s="429"/>
      <c r="G199" s="429"/>
      <c r="H199" s="429"/>
      <c r="I199" s="429"/>
      <c r="J199" s="430"/>
    </row>
    <row r="200" spans="1:19" ht="15" customHeight="1" x14ac:dyDescent="0.25">
      <c r="A200" s="431"/>
      <c r="B200" s="432"/>
      <c r="C200" s="432"/>
      <c r="D200" s="432"/>
      <c r="E200" s="432"/>
      <c r="F200" s="432"/>
      <c r="G200" s="432"/>
      <c r="H200" s="432"/>
      <c r="I200" s="432"/>
      <c r="J200" s="433"/>
    </row>
    <row r="201" spans="1:19" ht="15" customHeight="1" x14ac:dyDescent="0.25">
      <c r="A201" s="431"/>
      <c r="B201" s="432"/>
      <c r="C201" s="432"/>
      <c r="D201" s="432"/>
      <c r="E201" s="432"/>
      <c r="F201" s="432"/>
      <c r="G201" s="432"/>
      <c r="H201" s="432"/>
      <c r="I201" s="432"/>
      <c r="J201" s="433"/>
    </row>
    <row r="202" spans="1:19" ht="15" customHeight="1" x14ac:dyDescent="0.25">
      <c r="A202" s="431"/>
      <c r="B202" s="432"/>
      <c r="C202" s="432"/>
      <c r="D202" s="432"/>
      <c r="E202" s="432"/>
      <c r="F202" s="432"/>
      <c r="G202" s="432"/>
      <c r="H202" s="432"/>
      <c r="I202" s="432"/>
      <c r="J202" s="433"/>
    </row>
    <row r="203" spans="1:19" ht="15" customHeight="1" x14ac:dyDescent="0.25">
      <c r="A203" s="431"/>
      <c r="B203" s="432"/>
      <c r="C203" s="432"/>
      <c r="D203" s="432"/>
      <c r="E203" s="432"/>
      <c r="F203" s="432"/>
      <c r="G203" s="432"/>
      <c r="H203" s="432"/>
      <c r="I203" s="432"/>
      <c r="J203" s="433"/>
    </row>
    <row r="204" spans="1:19" ht="15" customHeight="1" x14ac:dyDescent="0.25">
      <c r="A204" s="431"/>
      <c r="B204" s="432"/>
      <c r="C204" s="432"/>
      <c r="D204" s="432"/>
      <c r="E204" s="432"/>
      <c r="F204" s="432"/>
      <c r="G204" s="432"/>
      <c r="H204" s="432"/>
      <c r="I204" s="432"/>
      <c r="J204" s="433"/>
    </row>
    <row r="205" spans="1:19" ht="15" customHeight="1" x14ac:dyDescent="0.25">
      <c r="A205" s="431"/>
      <c r="B205" s="432"/>
      <c r="C205" s="432"/>
      <c r="D205" s="432"/>
      <c r="E205" s="432"/>
      <c r="F205" s="432"/>
      <c r="G205" s="432"/>
      <c r="H205" s="432"/>
      <c r="I205" s="432"/>
      <c r="J205" s="433"/>
    </row>
    <row r="206" spans="1:19" ht="15" customHeight="1" x14ac:dyDescent="0.25">
      <c r="A206" s="431"/>
      <c r="B206" s="432"/>
      <c r="C206" s="432"/>
      <c r="D206" s="432"/>
      <c r="E206" s="432"/>
      <c r="F206" s="432"/>
      <c r="G206" s="432"/>
      <c r="H206" s="432"/>
      <c r="I206" s="432"/>
      <c r="J206" s="433"/>
    </row>
    <row r="207" spans="1:19" ht="15" customHeight="1" x14ac:dyDescent="0.25">
      <c r="A207" s="431"/>
      <c r="B207" s="432"/>
      <c r="C207" s="432"/>
      <c r="D207" s="432"/>
      <c r="E207" s="432"/>
      <c r="F207" s="432"/>
      <c r="G207" s="432"/>
      <c r="H207" s="432"/>
      <c r="I207" s="432"/>
      <c r="J207" s="433"/>
    </row>
    <row r="208" spans="1:19" ht="15" customHeight="1" x14ac:dyDescent="0.25">
      <c r="A208" s="431"/>
      <c r="B208" s="432"/>
      <c r="C208" s="432"/>
      <c r="D208" s="432"/>
      <c r="E208" s="432"/>
      <c r="F208" s="432"/>
      <c r="G208" s="432"/>
      <c r="H208" s="432"/>
      <c r="I208" s="432"/>
      <c r="J208" s="433"/>
    </row>
    <row r="209" spans="1:12" ht="15" customHeight="1" x14ac:dyDescent="0.25">
      <c r="A209" s="431"/>
      <c r="B209" s="432"/>
      <c r="C209" s="432"/>
      <c r="D209" s="432"/>
      <c r="E209" s="432"/>
      <c r="F209" s="432"/>
      <c r="G209" s="432"/>
      <c r="H209" s="432"/>
      <c r="I209" s="432"/>
      <c r="J209" s="433"/>
    </row>
    <row r="210" spans="1:12" ht="15" customHeight="1" x14ac:dyDescent="0.25">
      <c r="A210" s="431"/>
      <c r="B210" s="432"/>
      <c r="C210" s="432"/>
      <c r="D210" s="432"/>
      <c r="E210" s="432"/>
      <c r="F210" s="432"/>
      <c r="G210" s="432"/>
      <c r="H210" s="432"/>
      <c r="I210" s="432"/>
      <c r="J210" s="433"/>
    </row>
    <row r="211" spans="1:12" ht="15" customHeight="1" x14ac:dyDescent="0.25">
      <c r="A211" s="431"/>
      <c r="B211" s="432"/>
      <c r="C211" s="432"/>
      <c r="D211" s="432"/>
      <c r="E211" s="432"/>
      <c r="F211" s="432"/>
      <c r="G211" s="432"/>
      <c r="H211" s="432"/>
      <c r="I211" s="432"/>
      <c r="J211" s="433"/>
    </row>
    <row r="212" spans="1:12" ht="15" customHeight="1" x14ac:dyDescent="0.25">
      <c r="A212" s="431"/>
      <c r="B212" s="432"/>
      <c r="C212" s="432"/>
      <c r="D212" s="432"/>
      <c r="E212" s="432"/>
      <c r="F212" s="432"/>
      <c r="G212" s="432"/>
      <c r="H212" s="432"/>
      <c r="I212" s="432"/>
      <c r="J212" s="433"/>
    </row>
    <row r="213" spans="1:12" ht="15" customHeight="1" x14ac:dyDescent="0.25">
      <c r="A213" s="431"/>
      <c r="B213" s="432"/>
      <c r="C213" s="432"/>
      <c r="D213" s="432"/>
      <c r="E213" s="432"/>
      <c r="F213" s="432"/>
      <c r="G213" s="432"/>
      <c r="H213" s="432"/>
      <c r="I213" s="432"/>
      <c r="J213" s="433"/>
    </row>
    <row r="214" spans="1:12" ht="15" customHeight="1" x14ac:dyDescent="0.25">
      <c r="A214" s="431"/>
      <c r="B214" s="432"/>
      <c r="C214" s="432"/>
      <c r="D214" s="432"/>
      <c r="E214" s="432"/>
      <c r="F214" s="432"/>
      <c r="G214" s="432"/>
      <c r="H214" s="432"/>
      <c r="I214" s="432"/>
      <c r="J214" s="433"/>
    </row>
    <row r="215" spans="1:12" ht="15" customHeight="1" x14ac:dyDescent="0.25">
      <c r="A215" s="431"/>
      <c r="B215" s="432"/>
      <c r="C215" s="432"/>
      <c r="D215" s="432"/>
      <c r="E215" s="432"/>
      <c r="F215" s="432"/>
      <c r="G215" s="432"/>
      <c r="H215" s="432"/>
      <c r="I215" s="432"/>
      <c r="J215" s="433"/>
    </row>
    <row r="216" spans="1:12" ht="15" customHeight="1" x14ac:dyDescent="0.25">
      <c r="A216" s="431"/>
      <c r="B216" s="432"/>
      <c r="C216" s="432"/>
      <c r="D216" s="432"/>
      <c r="E216" s="432"/>
      <c r="F216" s="432"/>
      <c r="G216" s="432"/>
      <c r="H216" s="432"/>
      <c r="I216" s="432"/>
      <c r="J216" s="433"/>
    </row>
    <row r="217" spans="1:12" ht="15" customHeight="1" x14ac:dyDescent="0.25">
      <c r="A217" s="431"/>
      <c r="B217" s="432"/>
      <c r="C217" s="432"/>
      <c r="D217" s="432"/>
      <c r="E217" s="432"/>
      <c r="F217" s="432"/>
      <c r="G217" s="432"/>
      <c r="H217" s="432"/>
      <c r="I217" s="432"/>
      <c r="J217" s="433"/>
    </row>
    <row r="218" spans="1:12" ht="15" customHeight="1" x14ac:dyDescent="0.25">
      <c r="A218" s="431"/>
      <c r="B218" s="432"/>
      <c r="C218" s="432"/>
      <c r="D218" s="432"/>
      <c r="E218" s="432"/>
      <c r="F218" s="432"/>
      <c r="G218" s="432"/>
      <c r="H218" s="432"/>
      <c r="I218" s="432"/>
      <c r="J218" s="433"/>
    </row>
    <row r="219" spans="1:12" ht="15" customHeight="1" x14ac:dyDescent="0.25">
      <c r="A219" s="431"/>
      <c r="B219" s="432"/>
      <c r="C219" s="432"/>
      <c r="D219" s="432"/>
      <c r="E219" s="432"/>
      <c r="F219" s="432"/>
      <c r="G219" s="432"/>
      <c r="H219" s="432"/>
      <c r="I219" s="432"/>
      <c r="J219" s="433"/>
    </row>
    <row r="220" spans="1:12" ht="15" customHeight="1" x14ac:dyDescent="0.25">
      <c r="A220" s="431"/>
      <c r="B220" s="432"/>
      <c r="C220" s="432"/>
      <c r="D220" s="432"/>
      <c r="E220" s="432"/>
      <c r="F220" s="432"/>
      <c r="G220" s="432"/>
      <c r="H220" s="432"/>
      <c r="I220" s="432"/>
      <c r="J220" s="433"/>
    </row>
    <row r="221" spans="1:12" ht="15" customHeight="1" x14ac:dyDescent="0.25">
      <c r="A221" s="431"/>
      <c r="B221" s="432"/>
      <c r="C221" s="432"/>
      <c r="D221" s="432"/>
      <c r="E221" s="432"/>
      <c r="F221" s="432"/>
      <c r="G221" s="432"/>
      <c r="H221" s="432"/>
      <c r="I221" s="432"/>
      <c r="J221" s="433"/>
      <c r="K221" s="174"/>
      <c r="L221" s="174"/>
    </row>
    <row r="222" spans="1:12" ht="15" customHeight="1" x14ac:dyDescent="0.25">
      <c r="A222" s="431"/>
      <c r="B222" s="432"/>
      <c r="C222" s="432"/>
      <c r="D222" s="432"/>
      <c r="E222" s="432"/>
      <c r="F222" s="432"/>
      <c r="G222" s="432"/>
      <c r="H222" s="432"/>
      <c r="I222" s="432"/>
      <c r="J222" s="433"/>
    </row>
    <row r="223" spans="1:12" ht="15" customHeight="1" x14ac:dyDescent="0.25">
      <c r="A223" s="431"/>
      <c r="B223" s="432"/>
      <c r="C223" s="432"/>
      <c r="D223" s="432"/>
      <c r="E223" s="432"/>
      <c r="F223" s="432"/>
      <c r="G223" s="432"/>
      <c r="H223" s="432"/>
      <c r="I223" s="432"/>
      <c r="J223" s="433"/>
    </row>
    <row r="224" spans="1:12" ht="15" customHeight="1" x14ac:dyDescent="0.25">
      <c r="A224" s="431"/>
      <c r="B224" s="432"/>
      <c r="C224" s="432"/>
      <c r="D224" s="432"/>
      <c r="E224" s="432"/>
      <c r="F224" s="432"/>
      <c r="G224" s="432"/>
      <c r="H224" s="432"/>
      <c r="I224" s="432"/>
      <c r="J224" s="433"/>
    </row>
    <row r="225" spans="1:10" ht="15" customHeight="1" x14ac:dyDescent="0.25">
      <c r="A225" s="431"/>
      <c r="B225" s="432"/>
      <c r="C225" s="432"/>
      <c r="D225" s="432"/>
      <c r="E225" s="432"/>
      <c r="F225" s="432"/>
      <c r="G225" s="432"/>
      <c r="H225" s="432"/>
      <c r="I225" s="432"/>
      <c r="J225" s="433"/>
    </row>
    <row r="226" spans="1:10" ht="15" customHeight="1" x14ac:dyDescent="0.25">
      <c r="A226" s="434"/>
      <c r="B226" s="435"/>
      <c r="C226" s="435"/>
      <c r="D226" s="435"/>
      <c r="E226" s="435"/>
      <c r="F226" s="435"/>
      <c r="G226" s="435"/>
      <c r="H226" s="435"/>
      <c r="I226" s="435"/>
      <c r="J226" s="436"/>
    </row>
    <row r="227" spans="1:10" ht="15" customHeight="1" x14ac:dyDescent="0.25">
      <c r="A227" s="221"/>
      <c r="B227" s="221"/>
      <c r="C227" s="221"/>
      <c r="D227" s="221"/>
      <c r="E227" s="221"/>
      <c r="F227" s="221"/>
      <c r="G227" s="221"/>
      <c r="H227" s="221"/>
      <c r="I227" s="221"/>
      <c r="J227" s="221"/>
    </row>
    <row r="228" spans="1:10" ht="15" customHeight="1" x14ac:dyDescent="0.25">
      <c r="A228" s="221"/>
      <c r="B228" s="221"/>
      <c r="C228" s="221"/>
      <c r="D228" s="221"/>
      <c r="E228" s="221"/>
      <c r="F228" s="221"/>
      <c r="G228" s="221"/>
      <c r="H228" s="221"/>
      <c r="I228" s="221"/>
      <c r="J228" s="221"/>
    </row>
    <row r="229" spans="1:10" ht="15" customHeight="1" x14ac:dyDescent="0.25">
      <c r="A229" s="173"/>
      <c r="B229" s="173"/>
      <c r="C229" s="173"/>
      <c r="D229" s="173"/>
      <c r="E229" s="173"/>
      <c r="F229" s="173"/>
      <c r="G229" s="173"/>
      <c r="H229" s="173"/>
      <c r="I229" s="173"/>
      <c r="J229" s="173"/>
    </row>
    <row r="230" spans="1:10" ht="15.6" x14ac:dyDescent="0.3">
      <c r="A230" s="372" t="s">
        <v>76</v>
      </c>
      <c r="B230" s="373"/>
      <c r="C230" s="373"/>
      <c r="D230" s="373"/>
      <c r="E230" s="373"/>
      <c r="F230" s="373"/>
      <c r="G230" s="373"/>
      <c r="H230" s="370" t="str">
        <f>'CONTACT INFORMATION'!$A$24</f>
        <v>Ventura</v>
      </c>
      <c r="I230" s="370"/>
      <c r="J230" s="371"/>
    </row>
    <row r="231" spans="1:10" ht="8.1" customHeight="1" x14ac:dyDescent="0.25">
      <c r="A231" s="152"/>
      <c r="B231" s="152"/>
      <c r="C231" s="152"/>
      <c r="D231" s="152"/>
      <c r="E231" s="152"/>
      <c r="F231" s="152"/>
      <c r="G231" s="152"/>
      <c r="H231" s="152"/>
      <c r="I231" s="152"/>
      <c r="J231" s="152"/>
    </row>
    <row r="232" spans="1:10" ht="13.8" x14ac:dyDescent="0.25">
      <c r="A232" s="460" t="s">
        <v>176</v>
      </c>
      <c r="B232" s="461"/>
      <c r="C232" s="461"/>
      <c r="D232" s="461"/>
      <c r="E232" s="526"/>
      <c r="F232" s="526"/>
      <c r="G232" s="526"/>
      <c r="H232" s="526"/>
      <c r="I232" s="526"/>
      <c r="J232" s="527"/>
    </row>
    <row r="233" spans="1:10" ht="12.75" customHeight="1" x14ac:dyDescent="0.25">
      <c r="A233" s="463" t="s">
        <v>151</v>
      </c>
      <c r="B233" s="528"/>
      <c r="C233" s="528"/>
      <c r="D233" s="528"/>
      <c r="E233" s="532" t="s">
        <v>177</v>
      </c>
      <c r="F233" s="533"/>
      <c r="G233" s="533"/>
      <c r="H233" s="533"/>
      <c r="I233" s="533"/>
      <c r="J233" s="534"/>
    </row>
    <row r="234" spans="1:10" ht="12.75" customHeight="1" x14ac:dyDescent="0.25">
      <c r="A234" s="472" t="s">
        <v>153</v>
      </c>
      <c r="B234" s="473"/>
      <c r="C234" s="473"/>
      <c r="D234" s="473"/>
      <c r="E234" s="535"/>
      <c r="F234" s="506"/>
      <c r="G234" s="506"/>
      <c r="H234" s="506"/>
      <c r="I234" s="506"/>
      <c r="J234" s="507"/>
    </row>
    <row r="235" spans="1:10" x14ac:dyDescent="0.25">
      <c r="A235" s="475" t="s">
        <v>154</v>
      </c>
      <c r="B235" s="476"/>
      <c r="C235" s="476"/>
      <c r="D235" s="477"/>
      <c r="E235" s="529" t="s">
        <v>122</v>
      </c>
      <c r="F235" s="530"/>
      <c r="G235" s="530"/>
      <c r="H235" s="530"/>
      <c r="I235" s="530"/>
      <c r="J235" s="531"/>
    </row>
    <row r="236" spans="1:10" ht="27" customHeight="1" x14ac:dyDescent="0.25">
      <c r="A236" s="146"/>
      <c r="B236" s="220"/>
      <c r="C236" s="220"/>
      <c r="D236" s="220"/>
      <c r="E236" s="481" t="s">
        <v>155</v>
      </c>
      <c r="F236" s="482"/>
      <c r="G236" s="481" t="s">
        <v>156</v>
      </c>
      <c r="H236" s="482"/>
      <c r="I236" s="483" t="s">
        <v>157</v>
      </c>
      <c r="J236" s="484"/>
    </row>
    <row r="237" spans="1:10" x14ac:dyDescent="0.25">
      <c r="A237" s="449" t="s">
        <v>158</v>
      </c>
      <c r="B237" s="450"/>
      <c r="C237" s="450"/>
      <c r="D237" s="451"/>
      <c r="E237" s="551">
        <v>634099</v>
      </c>
      <c r="F237" s="511"/>
      <c r="G237" s="458"/>
      <c r="H237" s="458"/>
      <c r="I237" s="459"/>
      <c r="J237" s="459"/>
    </row>
    <row r="238" spans="1:10" x14ac:dyDescent="0.25">
      <c r="A238" s="454" t="s">
        <v>159</v>
      </c>
      <c r="B238" s="455"/>
      <c r="C238" s="455"/>
      <c r="D238" s="456"/>
      <c r="E238" s="508">
        <v>70761</v>
      </c>
      <c r="F238" s="509"/>
      <c r="G238" s="441"/>
      <c r="H238" s="441"/>
      <c r="I238" s="457"/>
      <c r="J238" s="457"/>
    </row>
    <row r="239" spans="1:10" x14ac:dyDescent="0.25">
      <c r="A239" s="449" t="s">
        <v>160</v>
      </c>
      <c r="B239" s="450"/>
      <c r="C239" s="450"/>
      <c r="D239" s="451"/>
      <c r="E239" s="510" t="s">
        <v>174</v>
      </c>
      <c r="F239" s="511"/>
      <c r="G239" s="458"/>
      <c r="H239" s="458"/>
      <c r="I239" s="459"/>
      <c r="J239" s="459"/>
    </row>
    <row r="240" spans="1:10" x14ac:dyDescent="0.25">
      <c r="A240" s="454" t="s">
        <v>161</v>
      </c>
      <c r="B240" s="455"/>
      <c r="C240" s="455"/>
      <c r="D240" s="456"/>
      <c r="E240" s="508">
        <v>123031</v>
      </c>
      <c r="F240" s="509"/>
      <c r="G240" s="441"/>
      <c r="H240" s="441"/>
      <c r="I240" s="457"/>
      <c r="J240" s="457"/>
    </row>
    <row r="241" spans="1:10" x14ac:dyDescent="0.25">
      <c r="A241" s="449" t="s">
        <v>162</v>
      </c>
      <c r="B241" s="450"/>
      <c r="C241" s="450"/>
      <c r="D241" s="451"/>
      <c r="E241" s="510" t="s">
        <v>174</v>
      </c>
      <c r="F241" s="511"/>
      <c r="G241" s="458"/>
      <c r="H241" s="458"/>
      <c r="I241" s="459"/>
      <c r="J241" s="459"/>
    </row>
    <row r="242" spans="1:10" x14ac:dyDescent="0.25">
      <c r="A242" s="454" t="s">
        <v>163</v>
      </c>
      <c r="B242" s="455"/>
      <c r="C242" s="455"/>
      <c r="D242" s="456"/>
      <c r="E242" s="508">
        <v>39940</v>
      </c>
      <c r="F242" s="509"/>
      <c r="G242" s="441"/>
      <c r="H242" s="441"/>
      <c r="I242" s="457"/>
      <c r="J242" s="457"/>
    </row>
    <row r="243" spans="1:10" x14ac:dyDescent="0.25">
      <c r="A243" s="449" t="s">
        <v>164</v>
      </c>
      <c r="B243" s="450"/>
      <c r="C243" s="450"/>
      <c r="D243" s="451"/>
      <c r="E243" s="452"/>
      <c r="F243" s="452"/>
      <c r="G243" s="452"/>
      <c r="H243" s="452"/>
      <c r="I243" s="453"/>
      <c r="J243" s="453"/>
    </row>
    <row r="244" spans="1:10" x14ac:dyDescent="0.25">
      <c r="A244" s="437"/>
      <c r="B244" s="438"/>
      <c r="C244" s="438"/>
      <c r="D244" s="439"/>
      <c r="E244" s="440"/>
      <c r="F244" s="440"/>
      <c r="G244" s="441"/>
      <c r="H244" s="441"/>
      <c r="I244" s="441"/>
      <c r="J244" s="441"/>
    </row>
    <row r="245" spans="1:10" x14ac:dyDescent="0.25">
      <c r="A245" s="437"/>
      <c r="B245" s="438"/>
      <c r="C245" s="438"/>
      <c r="D245" s="439"/>
      <c r="E245" s="440"/>
      <c r="F245" s="440"/>
      <c r="G245" s="441"/>
      <c r="H245" s="441"/>
      <c r="I245" s="441"/>
      <c r="J245" s="441"/>
    </row>
    <row r="246" spans="1:10" x14ac:dyDescent="0.25">
      <c r="A246" s="437"/>
      <c r="B246" s="438"/>
      <c r="C246" s="438"/>
      <c r="D246" s="439"/>
      <c r="E246" s="440"/>
      <c r="F246" s="440"/>
      <c r="G246" s="441"/>
      <c r="H246" s="441"/>
      <c r="I246" s="441"/>
      <c r="J246" s="441"/>
    </row>
    <row r="247" spans="1:10" x14ac:dyDescent="0.25">
      <c r="A247" s="442" t="s">
        <v>165</v>
      </c>
      <c r="B247" s="443"/>
      <c r="C247" s="443"/>
      <c r="D247" s="444"/>
      <c r="E247" s="445">
        <f>SUM(E237:E246)</f>
        <v>867831</v>
      </c>
      <c r="F247" s="445"/>
      <c r="G247" s="445">
        <f>SUM(G237:G246)</f>
        <v>0</v>
      </c>
      <c r="H247" s="445"/>
      <c r="I247" s="445">
        <f>SUM(I237:I246)</f>
        <v>0</v>
      </c>
      <c r="J247" s="445"/>
    </row>
    <row r="248" spans="1:10" ht="12.75" customHeight="1" x14ac:dyDescent="0.25">
      <c r="A248" s="446" t="s">
        <v>166</v>
      </c>
      <c r="B248" s="447"/>
      <c r="C248" s="447"/>
      <c r="D248" s="447"/>
      <c r="E248" s="447"/>
      <c r="F248" s="447"/>
      <c r="G248" s="447"/>
      <c r="H248" s="447"/>
      <c r="I248" s="447"/>
      <c r="J248" s="448"/>
    </row>
    <row r="249" spans="1:10" ht="12.75" customHeight="1" x14ac:dyDescent="0.25">
      <c r="A249" s="423" t="s">
        <v>167</v>
      </c>
      <c r="B249" s="424"/>
      <c r="C249" s="424"/>
      <c r="D249" s="424"/>
      <c r="E249" s="424"/>
      <c r="F249" s="424"/>
      <c r="G249" s="424"/>
      <c r="H249" s="424"/>
      <c r="I249" s="424"/>
      <c r="J249" s="425"/>
    </row>
    <row r="250" spans="1:10" ht="12.75" customHeight="1" x14ac:dyDescent="0.25">
      <c r="A250" s="423" t="s">
        <v>168</v>
      </c>
      <c r="B250" s="424"/>
      <c r="C250" s="424"/>
      <c r="D250" s="424"/>
      <c r="E250" s="424"/>
      <c r="F250" s="424"/>
      <c r="G250" s="424"/>
      <c r="H250" s="424"/>
      <c r="I250" s="424"/>
      <c r="J250" s="425"/>
    </row>
    <row r="251" spans="1:10" ht="12.75" customHeight="1" x14ac:dyDescent="0.25">
      <c r="A251" s="426" t="s">
        <v>169</v>
      </c>
      <c r="B251" s="427"/>
      <c r="C251" s="427"/>
      <c r="D251" s="427"/>
      <c r="E251" s="427"/>
      <c r="F251" s="427"/>
      <c r="G251" s="427"/>
      <c r="H251" s="427"/>
      <c r="I251" s="427"/>
      <c r="J251" s="428"/>
    </row>
    <row r="252" spans="1:10" x14ac:dyDescent="0.25">
      <c r="A252" s="316" t="s">
        <v>178</v>
      </c>
      <c r="B252" s="429"/>
      <c r="C252" s="429"/>
      <c r="D252" s="429"/>
      <c r="E252" s="429"/>
      <c r="F252" s="429"/>
      <c r="G252" s="429"/>
      <c r="H252" s="429"/>
      <c r="I252" s="429"/>
      <c r="J252" s="430"/>
    </row>
    <row r="253" spans="1:10" x14ac:dyDescent="0.25">
      <c r="A253" s="431"/>
      <c r="B253" s="432"/>
      <c r="C253" s="432"/>
      <c r="D253" s="432"/>
      <c r="E253" s="432"/>
      <c r="F253" s="432"/>
      <c r="G253" s="432"/>
      <c r="H253" s="432"/>
      <c r="I253" s="432"/>
      <c r="J253" s="433"/>
    </row>
    <row r="254" spans="1:10" x14ac:dyDescent="0.25">
      <c r="A254" s="431"/>
      <c r="B254" s="432"/>
      <c r="C254" s="432"/>
      <c r="D254" s="432"/>
      <c r="E254" s="432"/>
      <c r="F254" s="432"/>
      <c r="G254" s="432"/>
      <c r="H254" s="432"/>
      <c r="I254" s="432"/>
      <c r="J254" s="433"/>
    </row>
    <row r="255" spans="1:10" x14ac:dyDescent="0.25">
      <c r="A255" s="431"/>
      <c r="B255" s="432"/>
      <c r="C255" s="432"/>
      <c r="D255" s="432"/>
      <c r="E255" s="432"/>
      <c r="F255" s="432"/>
      <c r="G255" s="432"/>
      <c r="H255" s="432"/>
      <c r="I255" s="432"/>
      <c r="J255" s="433"/>
    </row>
    <row r="256" spans="1:10" x14ac:dyDescent="0.25">
      <c r="A256" s="431"/>
      <c r="B256" s="432"/>
      <c r="C256" s="432"/>
      <c r="D256" s="432"/>
      <c r="E256" s="432"/>
      <c r="F256" s="432"/>
      <c r="G256" s="432"/>
      <c r="H256" s="432"/>
      <c r="I256" s="432"/>
      <c r="J256" s="433"/>
    </row>
    <row r="257" spans="1:10" x14ac:dyDescent="0.25">
      <c r="A257" s="431"/>
      <c r="B257" s="432"/>
      <c r="C257" s="432"/>
      <c r="D257" s="432"/>
      <c r="E257" s="432"/>
      <c r="F257" s="432"/>
      <c r="G257" s="432"/>
      <c r="H257" s="432"/>
      <c r="I257" s="432"/>
      <c r="J257" s="433"/>
    </row>
    <row r="258" spans="1:10" x14ac:dyDescent="0.25">
      <c r="A258" s="431"/>
      <c r="B258" s="432"/>
      <c r="C258" s="432"/>
      <c r="D258" s="432"/>
      <c r="E258" s="432"/>
      <c r="F258" s="432"/>
      <c r="G258" s="432"/>
      <c r="H258" s="432"/>
      <c r="I258" s="432"/>
      <c r="J258" s="433"/>
    </row>
    <row r="259" spans="1:10" x14ac:dyDescent="0.25">
      <c r="A259" s="431"/>
      <c r="B259" s="432"/>
      <c r="C259" s="432"/>
      <c r="D259" s="432"/>
      <c r="E259" s="432"/>
      <c r="F259" s="432"/>
      <c r="G259" s="432"/>
      <c r="H259" s="432"/>
      <c r="I259" s="432"/>
      <c r="J259" s="433"/>
    </row>
    <row r="260" spans="1:10" x14ac:dyDescent="0.25">
      <c r="A260" s="431"/>
      <c r="B260" s="432"/>
      <c r="C260" s="432"/>
      <c r="D260" s="432"/>
      <c r="E260" s="432"/>
      <c r="F260" s="432"/>
      <c r="G260" s="432"/>
      <c r="H260" s="432"/>
      <c r="I260" s="432"/>
      <c r="J260" s="433"/>
    </row>
    <row r="261" spans="1:10" x14ac:dyDescent="0.25">
      <c r="A261" s="431"/>
      <c r="B261" s="432"/>
      <c r="C261" s="432"/>
      <c r="D261" s="432"/>
      <c r="E261" s="432"/>
      <c r="F261" s="432"/>
      <c r="G261" s="432"/>
      <c r="H261" s="432"/>
      <c r="I261" s="432"/>
      <c r="J261" s="433"/>
    </row>
    <row r="262" spans="1:10" x14ac:dyDescent="0.25">
      <c r="A262" s="431"/>
      <c r="B262" s="432"/>
      <c r="C262" s="432"/>
      <c r="D262" s="432"/>
      <c r="E262" s="432"/>
      <c r="F262" s="432"/>
      <c r="G262" s="432"/>
      <c r="H262" s="432"/>
      <c r="I262" s="432"/>
      <c r="J262" s="433"/>
    </row>
    <row r="263" spans="1:10" x14ac:dyDescent="0.25">
      <c r="A263" s="431"/>
      <c r="B263" s="432"/>
      <c r="C263" s="432"/>
      <c r="D263" s="432"/>
      <c r="E263" s="432"/>
      <c r="F263" s="432"/>
      <c r="G263" s="432"/>
      <c r="H263" s="432"/>
      <c r="I263" s="432"/>
      <c r="J263" s="433"/>
    </row>
    <row r="264" spans="1:10" x14ac:dyDescent="0.25">
      <c r="A264" s="431"/>
      <c r="B264" s="432"/>
      <c r="C264" s="432"/>
      <c r="D264" s="432"/>
      <c r="E264" s="432"/>
      <c r="F264" s="432"/>
      <c r="G264" s="432"/>
      <c r="H264" s="432"/>
      <c r="I264" s="432"/>
      <c r="J264" s="433"/>
    </row>
    <row r="265" spans="1:10" x14ac:dyDescent="0.25">
      <c r="A265" s="431"/>
      <c r="B265" s="432"/>
      <c r="C265" s="432"/>
      <c r="D265" s="432"/>
      <c r="E265" s="432"/>
      <c r="F265" s="432"/>
      <c r="G265" s="432"/>
      <c r="H265" s="432"/>
      <c r="I265" s="432"/>
      <c r="J265" s="433"/>
    </row>
    <row r="266" spans="1:10" x14ac:dyDescent="0.25">
      <c r="A266" s="431"/>
      <c r="B266" s="432"/>
      <c r="C266" s="432"/>
      <c r="D266" s="432"/>
      <c r="E266" s="432"/>
      <c r="F266" s="432"/>
      <c r="G266" s="432"/>
      <c r="H266" s="432"/>
      <c r="I266" s="432"/>
      <c r="J266" s="433"/>
    </row>
    <row r="267" spans="1:10" x14ac:dyDescent="0.25">
      <c r="A267" s="431"/>
      <c r="B267" s="432"/>
      <c r="C267" s="432"/>
      <c r="D267" s="432"/>
      <c r="E267" s="432"/>
      <c r="F267" s="432"/>
      <c r="G267" s="432"/>
      <c r="H267" s="432"/>
      <c r="I267" s="432"/>
      <c r="J267" s="433"/>
    </row>
    <row r="268" spans="1:10" x14ac:dyDescent="0.25">
      <c r="A268" s="431"/>
      <c r="B268" s="432"/>
      <c r="C268" s="432"/>
      <c r="D268" s="432"/>
      <c r="E268" s="432"/>
      <c r="F268" s="432"/>
      <c r="G268" s="432"/>
      <c r="H268" s="432"/>
      <c r="I268" s="432"/>
      <c r="J268" s="433"/>
    </row>
    <row r="269" spans="1:10" x14ac:dyDescent="0.25">
      <c r="A269" s="431"/>
      <c r="B269" s="432"/>
      <c r="C269" s="432"/>
      <c r="D269" s="432"/>
      <c r="E269" s="432"/>
      <c r="F269" s="432"/>
      <c r="G269" s="432"/>
      <c r="H269" s="432"/>
      <c r="I269" s="432"/>
      <c r="J269" s="433"/>
    </row>
    <row r="270" spans="1:10" x14ac:dyDescent="0.25">
      <c r="A270" s="431"/>
      <c r="B270" s="432"/>
      <c r="C270" s="432"/>
      <c r="D270" s="432"/>
      <c r="E270" s="432"/>
      <c r="F270" s="432"/>
      <c r="G270" s="432"/>
      <c r="H270" s="432"/>
      <c r="I270" s="432"/>
      <c r="J270" s="433"/>
    </row>
    <row r="271" spans="1:10" x14ac:dyDescent="0.25">
      <c r="A271" s="431"/>
      <c r="B271" s="432"/>
      <c r="C271" s="432"/>
      <c r="D271" s="432"/>
      <c r="E271" s="432"/>
      <c r="F271" s="432"/>
      <c r="G271" s="432"/>
      <c r="H271" s="432"/>
      <c r="I271" s="432"/>
      <c r="J271" s="433"/>
    </row>
    <row r="272" spans="1:10" x14ac:dyDescent="0.25">
      <c r="A272" s="431"/>
      <c r="B272" s="432"/>
      <c r="C272" s="432"/>
      <c r="D272" s="432"/>
      <c r="E272" s="432"/>
      <c r="F272" s="432"/>
      <c r="G272" s="432"/>
      <c r="H272" s="432"/>
      <c r="I272" s="432"/>
      <c r="J272" s="433"/>
    </row>
    <row r="273" spans="1:10" x14ac:dyDescent="0.25">
      <c r="A273" s="431"/>
      <c r="B273" s="432"/>
      <c r="C273" s="432"/>
      <c r="D273" s="432"/>
      <c r="E273" s="432"/>
      <c r="F273" s="432"/>
      <c r="G273" s="432"/>
      <c r="H273" s="432"/>
      <c r="I273" s="432"/>
      <c r="J273" s="433"/>
    </row>
    <row r="274" spans="1:10" x14ac:dyDescent="0.25">
      <c r="A274" s="431"/>
      <c r="B274" s="432"/>
      <c r="C274" s="432"/>
      <c r="D274" s="432"/>
      <c r="E274" s="432"/>
      <c r="F274" s="432"/>
      <c r="G274" s="432"/>
      <c r="H274" s="432"/>
      <c r="I274" s="432"/>
      <c r="J274" s="433"/>
    </row>
    <row r="275" spans="1:10" x14ac:dyDescent="0.25">
      <c r="A275" s="431"/>
      <c r="B275" s="432"/>
      <c r="C275" s="432"/>
      <c r="D275" s="432"/>
      <c r="E275" s="432"/>
      <c r="F275" s="432"/>
      <c r="G275" s="432"/>
      <c r="H275" s="432"/>
      <c r="I275" s="432"/>
      <c r="J275" s="433"/>
    </row>
    <row r="276" spans="1:10" x14ac:dyDescent="0.25">
      <c r="A276" s="431"/>
      <c r="B276" s="432"/>
      <c r="C276" s="432"/>
      <c r="D276" s="432"/>
      <c r="E276" s="432"/>
      <c r="F276" s="432"/>
      <c r="G276" s="432"/>
      <c r="H276" s="432"/>
      <c r="I276" s="432"/>
      <c r="J276" s="433"/>
    </row>
    <row r="277" spans="1:10" x14ac:dyDescent="0.25">
      <c r="A277" s="431"/>
      <c r="B277" s="432"/>
      <c r="C277" s="432"/>
      <c r="D277" s="432"/>
      <c r="E277" s="432"/>
      <c r="F277" s="432"/>
      <c r="G277" s="432"/>
      <c r="H277" s="432"/>
      <c r="I277" s="432"/>
      <c r="J277" s="433"/>
    </row>
    <row r="278" spans="1:10" x14ac:dyDescent="0.25">
      <c r="A278" s="431"/>
      <c r="B278" s="432"/>
      <c r="C278" s="432"/>
      <c r="D278" s="432"/>
      <c r="E278" s="432"/>
      <c r="F278" s="432"/>
      <c r="G278" s="432"/>
      <c r="H278" s="432"/>
      <c r="I278" s="432"/>
      <c r="J278" s="433"/>
    </row>
    <row r="279" spans="1:10" x14ac:dyDescent="0.25">
      <c r="A279" s="431"/>
      <c r="B279" s="432"/>
      <c r="C279" s="432"/>
      <c r="D279" s="432"/>
      <c r="E279" s="432"/>
      <c r="F279" s="432"/>
      <c r="G279" s="432"/>
      <c r="H279" s="432"/>
      <c r="I279" s="432"/>
      <c r="J279" s="433"/>
    </row>
    <row r="280" spans="1:10" x14ac:dyDescent="0.25">
      <c r="A280" s="431"/>
      <c r="B280" s="432"/>
      <c r="C280" s="432"/>
      <c r="D280" s="432"/>
      <c r="E280" s="432"/>
      <c r="F280" s="432"/>
      <c r="G280" s="432"/>
      <c r="H280" s="432"/>
      <c r="I280" s="432"/>
      <c r="J280" s="433"/>
    </row>
    <row r="281" spans="1:10" x14ac:dyDescent="0.25">
      <c r="A281" s="431"/>
      <c r="B281" s="432"/>
      <c r="C281" s="432"/>
      <c r="D281" s="432"/>
      <c r="E281" s="432"/>
      <c r="F281" s="432"/>
      <c r="G281" s="432"/>
      <c r="H281" s="432"/>
      <c r="I281" s="432"/>
      <c r="J281" s="433"/>
    </row>
    <row r="282" spans="1:10" x14ac:dyDescent="0.25">
      <c r="A282" s="431"/>
      <c r="B282" s="432"/>
      <c r="C282" s="432"/>
      <c r="D282" s="432"/>
      <c r="E282" s="432"/>
      <c r="F282" s="432"/>
      <c r="G282" s="432"/>
      <c r="H282" s="432"/>
      <c r="I282" s="432"/>
      <c r="J282" s="433"/>
    </row>
    <row r="283" spans="1:10" x14ac:dyDescent="0.25">
      <c r="A283" s="431"/>
      <c r="B283" s="432"/>
      <c r="C283" s="432"/>
      <c r="D283" s="432"/>
      <c r="E283" s="432"/>
      <c r="F283" s="432"/>
      <c r="G283" s="432"/>
      <c r="H283" s="432"/>
      <c r="I283" s="432"/>
      <c r="J283" s="433"/>
    </row>
    <row r="284" spans="1:10" x14ac:dyDescent="0.25">
      <c r="A284" s="431"/>
      <c r="B284" s="432"/>
      <c r="C284" s="432"/>
      <c r="D284" s="432"/>
      <c r="E284" s="432"/>
      <c r="F284" s="432"/>
      <c r="G284" s="432"/>
      <c r="H284" s="432"/>
      <c r="I284" s="432"/>
      <c r="J284" s="433"/>
    </row>
    <row r="285" spans="1:10" x14ac:dyDescent="0.25">
      <c r="A285" s="434"/>
      <c r="B285" s="435"/>
      <c r="C285" s="435"/>
      <c r="D285" s="435"/>
      <c r="E285" s="435"/>
      <c r="F285" s="435"/>
      <c r="G285" s="435"/>
      <c r="H285" s="435"/>
      <c r="I285" s="435"/>
      <c r="J285" s="436"/>
    </row>
    <row r="288" spans="1:10" ht="15.6" x14ac:dyDescent="0.3">
      <c r="A288" s="372" t="s">
        <v>76</v>
      </c>
      <c r="B288" s="373"/>
      <c r="C288" s="373"/>
      <c r="D288" s="373"/>
      <c r="E288" s="373"/>
      <c r="F288" s="373"/>
      <c r="G288" s="373"/>
      <c r="H288" s="370" t="str">
        <f>'CONTACT INFORMATION'!$A$24</f>
        <v>Ventura</v>
      </c>
      <c r="I288" s="370"/>
      <c r="J288" s="371"/>
    </row>
    <row r="289" spans="1:10" ht="8.1" customHeight="1" x14ac:dyDescent="0.25">
      <c r="A289" s="152"/>
      <c r="B289" s="152"/>
      <c r="C289" s="152"/>
      <c r="D289" s="152"/>
      <c r="E289" s="152"/>
      <c r="F289" s="152"/>
      <c r="G289" s="152"/>
      <c r="H289" s="152"/>
      <c r="I289" s="152"/>
      <c r="J289" s="152"/>
    </row>
    <row r="290" spans="1:10" ht="13.8" x14ac:dyDescent="0.25">
      <c r="A290" s="460" t="s">
        <v>179</v>
      </c>
      <c r="B290" s="461"/>
      <c r="C290" s="461"/>
      <c r="D290" s="461"/>
      <c r="E290" s="461"/>
      <c r="F290" s="461"/>
      <c r="G290" s="461"/>
      <c r="H290" s="461"/>
      <c r="I290" s="461"/>
      <c r="J290" s="462"/>
    </row>
    <row r="291" spans="1:10" ht="12.75" customHeight="1" x14ac:dyDescent="0.25">
      <c r="A291" s="463" t="s">
        <v>151</v>
      </c>
      <c r="B291" s="464"/>
      <c r="C291" s="464"/>
      <c r="D291" s="465"/>
      <c r="E291" s="512" t="s">
        <v>180</v>
      </c>
      <c r="F291" s="513"/>
      <c r="G291" s="513"/>
      <c r="H291" s="513"/>
      <c r="I291" s="513"/>
      <c r="J291" s="524"/>
    </row>
    <row r="292" spans="1:10" x14ac:dyDescent="0.25">
      <c r="A292" s="472" t="s">
        <v>181</v>
      </c>
      <c r="B292" s="473"/>
      <c r="C292" s="473"/>
      <c r="D292" s="474"/>
      <c r="E292" s="515"/>
      <c r="F292" s="516"/>
      <c r="G292" s="516"/>
      <c r="H292" s="516"/>
      <c r="I292" s="516"/>
      <c r="J292" s="525"/>
    </row>
    <row r="293" spans="1:10" x14ac:dyDescent="0.25">
      <c r="A293" s="475" t="s">
        <v>182</v>
      </c>
      <c r="B293" s="476"/>
      <c r="C293" s="476"/>
      <c r="D293" s="477"/>
      <c r="E293" s="485" t="s">
        <v>131</v>
      </c>
      <c r="F293" s="486"/>
      <c r="G293" s="486"/>
      <c r="H293" s="486"/>
      <c r="I293" s="486"/>
      <c r="J293" s="487"/>
    </row>
    <row r="294" spans="1:10" ht="27" customHeight="1" x14ac:dyDescent="0.25">
      <c r="A294" s="146"/>
      <c r="B294" s="220"/>
      <c r="C294" s="220"/>
      <c r="D294" s="220"/>
      <c r="E294" s="481" t="s">
        <v>155</v>
      </c>
      <c r="F294" s="482"/>
      <c r="G294" s="481" t="s">
        <v>156</v>
      </c>
      <c r="H294" s="482"/>
      <c r="I294" s="483" t="s">
        <v>157</v>
      </c>
      <c r="J294" s="484"/>
    </row>
    <row r="295" spans="1:10" x14ac:dyDescent="0.25">
      <c r="A295" s="449" t="s">
        <v>158</v>
      </c>
      <c r="B295" s="450"/>
      <c r="C295" s="450"/>
      <c r="D295" s="451"/>
      <c r="E295" s="458"/>
      <c r="F295" s="458"/>
      <c r="G295" s="458"/>
      <c r="H295" s="458"/>
      <c r="I295" s="459"/>
      <c r="J295" s="459"/>
    </row>
    <row r="296" spans="1:10" x14ac:dyDescent="0.25">
      <c r="A296" s="454" t="s">
        <v>159</v>
      </c>
      <c r="B296" s="455"/>
      <c r="C296" s="455"/>
      <c r="D296" s="456"/>
      <c r="E296" s="440"/>
      <c r="F296" s="440"/>
      <c r="G296" s="441"/>
      <c r="H296" s="441"/>
      <c r="I296" s="457"/>
      <c r="J296" s="457"/>
    </row>
    <row r="297" spans="1:10" x14ac:dyDescent="0.25">
      <c r="A297" s="449" t="s">
        <v>160</v>
      </c>
      <c r="B297" s="450"/>
      <c r="C297" s="450"/>
      <c r="D297" s="451"/>
      <c r="E297" s="458"/>
      <c r="F297" s="458"/>
      <c r="G297" s="458"/>
      <c r="H297" s="458"/>
      <c r="I297" s="459"/>
      <c r="J297" s="459"/>
    </row>
    <row r="298" spans="1:10" x14ac:dyDescent="0.25">
      <c r="A298" s="454" t="s">
        <v>161</v>
      </c>
      <c r="B298" s="455"/>
      <c r="C298" s="455"/>
      <c r="D298" s="456"/>
      <c r="E298" s="508">
        <v>47009</v>
      </c>
      <c r="F298" s="509"/>
      <c r="G298" s="441"/>
      <c r="H298" s="441"/>
      <c r="I298" s="457"/>
      <c r="J298" s="457"/>
    </row>
    <row r="299" spans="1:10" x14ac:dyDescent="0.25">
      <c r="A299" s="449" t="s">
        <v>162</v>
      </c>
      <c r="B299" s="450"/>
      <c r="C299" s="450"/>
      <c r="D299" s="451"/>
      <c r="E299" s="510" t="s">
        <v>174</v>
      </c>
      <c r="F299" s="511"/>
      <c r="G299" s="458"/>
      <c r="H299" s="458"/>
      <c r="I299" s="459"/>
      <c r="J299" s="459"/>
    </row>
    <row r="300" spans="1:10" x14ac:dyDescent="0.25">
      <c r="A300" s="454" t="s">
        <v>163</v>
      </c>
      <c r="B300" s="455"/>
      <c r="C300" s="455"/>
      <c r="D300" s="456"/>
      <c r="E300" s="508">
        <v>9628</v>
      </c>
      <c r="F300" s="509"/>
      <c r="G300" s="441"/>
      <c r="H300" s="441"/>
      <c r="I300" s="457"/>
      <c r="J300" s="457"/>
    </row>
    <row r="301" spans="1:10" x14ac:dyDescent="0.25">
      <c r="A301" s="449" t="s">
        <v>164</v>
      </c>
      <c r="B301" s="450"/>
      <c r="C301" s="450"/>
      <c r="D301" s="451"/>
      <c r="E301" s="452"/>
      <c r="F301" s="452"/>
      <c r="G301" s="452"/>
      <c r="H301" s="452"/>
      <c r="I301" s="453"/>
      <c r="J301" s="453"/>
    </row>
    <row r="302" spans="1:10" x14ac:dyDescent="0.25">
      <c r="A302" s="437"/>
      <c r="B302" s="438"/>
      <c r="C302" s="438"/>
      <c r="D302" s="439"/>
      <c r="E302" s="440"/>
      <c r="F302" s="440"/>
      <c r="G302" s="441"/>
      <c r="H302" s="441"/>
      <c r="I302" s="441"/>
      <c r="J302" s="441"/>
    </row>
    <row r="303" spans="1:10" x14ac:dyDescent="0.25">
      <c r="A303" s="437"/>
      <c r="B303" s="438"/>
      <c r="C303" s="438"/>
      <c r="D303" s="439"/>
      <c r="E303" s="440"/>
      <c r="F303" s="440"/>
      <c r="G303" s="441"/>
      <c r="H303" s="441"/>
      <c r="I303" s="441"/>
      <c r="J303" s="441"/>
    </row>
    <row r="304" spans="1:10" x14ac:dyDescent="0.25">
      <c r="A304" s="437"/>
      <c r="B304" s="438"/>
      <c r="C304" s="438"/>
      <c r="D304" s="439"/>
      <c r="E304" s="440"/>
      <c r="F304" s="440"/>
      <c r="G304" s="441"/>
      <c r="H304" s="441"/>
      <c r="I304" s="441"/>
      <c r="J304" s="441"/>
    </row>
    <row r="305" spans="1:10" x14ac:dyDescent="0.25">
      <c r="A305" s="442" t="s">
        <v>165</v>
      </c>
      <c r="B305" s="443"/>
      <c r="C305" s="443"/>
      <c r="D305" s="444"/>
      <c r="E305" s="445">
        <f>SUM(E295:E304)</f>
        <v>56637</v>
      </c>
      <c r="F305" s="445"/>
      <c r="G305" s="445">
        <f>SUM(G295:G304)</f>
        <v>0</v>
      </c>
      <c r="H305" s="445"/>
      <c r="I305" s="445">
        <f>SUM(I295:I304)</f>
        <v>0</v>
      </c>
      <c r="J305" s="445"/>
    </row>
    <row r="306" spans="1:10" x14ac:dyDescent="0.25">
      <c r="A306" s="446" t="s">
        <v>166</v>
      </c>
      <c r="B306" s="447"/>
      <c r="C306" s="447"/>
      <c r="D306" s="447"/>
      <c r="E306" s="447"/>
      <c r="F306" s="447"/>
      <c r="G306" s="447"/>
      <c r="H306" s="447"/>
      <c r="I306" s="447"/>
      <c r="J306" s="448"/>
    </row>
    <row r="307" spans="1:10" x14ac:dyDescent="0.25">
      <c r="A307" s="423" t="s">
        <v>167</v>
      </c>
      <c r="B307" s="424"/>
      <c r="C307" s="424"/>
      <c r="D307" s="424"/>
      <c r="E307" s="424"/>
      <c r="F307" s="424"/>
      <c r="G307" s="424"/>
      <c r="H307" s="424"/>
      <c r="I307" s="424"/>
      <c r="J307" s="425"/>
    </row>
    <row r="308" spans="1:10" x14ac:dyDescent="0.25">
      <c r="A308" s="423" t="s">
        <v>168</v>
      </c>
      <c r="B308" s="424"/>
      <c r="C308" s="424"/>
      <c r="D308" s="424"/>
      <c r="E308" s="424"/>
      <c r="F308" s="424"/>
      <c r="G308" s="424"/>
      <c r="H308" s="424"/>
      <c r="I308" s="424"/>
      <c r="J308" s="425"/>
    </row>
    <row r="309" spans="1:10" x14ac:dyDescent="0.25">
      <c r="A309" s="426" t="s">
        <v>169</v>
      </c>
      <c r="B309" s="427"/>
      <c r="C309" s="427"/>
      <c r="D309" s="427"/>
      <c r="E309" s="427"/>
      <c r="F309" s="427"/>
      <c r="G309" s="427"/>
      <c r="H309" s="427"/>
      <c r="I309" s="427"/>
      <c r="J309" s="428"/>
    </row>
    <row r="310" spans="1:10" x14ac:dyDescent="0.25">
      <c r="A310" s="316" t="s">
        <v>956</v>
      </c>
      <c r="B310" s="429"/>
      <c r="C310" s="429"/>
      <c r="D310" s="429"/>
      <c r="E310" s="429"/>
      <c r="F310" s="429"/>
      <c r="G310" s="429"/>
      <c r="H310" s="429"/>
      <c r="I310" s="429"/>
      <c r="J310" s="430"/>
    </row>
    <row r="311" spans="1:10" x14ac:dyDescent="0.25">
      <c r="A311" s="431"/>
      <c r="B311" s="432"/>
      <c r="C311" s="432"/>
      <c r="D311" s="432"/>
      <c r="E311" s="432"/>
      <c r="F311" s="432"/>
      <c r="G311" s="432"/>
      <c r="H311" s="432"/>
      <c r="I311" s="432"/>
      <c r="J311" s="433"/>
    </row>
    <row r="312" spans="1:10" x14ac:dyDescent="0.25">
      <c r="A312" s="431"/>
      <c r="B312" s="432"/>
      <c r="C312" s="432"/>
      <c r="D312" s="432"/>
      <c r="E312" s="432"/>
      <c r="F312" s="432"/>
      <c r="G312" s="432"/>
      <c r="H312" s="432"/>
      <c r="I312" s="432"/>
      <c r="J312" s="433"/>
    </row>
    <row r="313" spans="1:10" x14ac:dyDescent="0.25">
      <c r="A313" s="431"/>
      <c r="B313" s="432"/>
      <c r="C313" s="432"/>
      <c r="D313" s="432"/>
      <c r="E313" s="432"/>
      <c r="F313" s="432"/>
      <c r="G313" s="432"/>
      <c r="H313" s="432"/>
      <c r="I313" s="432"/>
      <c r="J313" s="433"/>
    </row>
    <row r="314" spans="1:10" x14ac:dyDescent="0.25">
      <c r="A314" s="431"/>
      <c r="B314" s="432"/>
      <c r="C314" s="432"/>
      <c r="D314" s="432"/>
      <c r="E314" s="432"/>
      <c r="F314" s="432"/>
      <c r="G314" s="432"/>
      <c r="H314" s="432"/>
      <c r="I314" s="432"/>
      <c r="J314" s="433"/>
    </row>
    <row r="315" spans="1:10" x14ac:dyDescent="0.25">
      <c r="A315" s="431"/>
      <c r="B315" s="432"/>
      <c r="C315" s="432"/>
      <c r="D315" s="432"/>
      <c r="E315" s="432"/>
      <c r="F315" s="432"/>
      <c r="G315" s="432"/>
      <c r="H315" s="432"/>
      <c r="I315" s="432"/>
      <c r="J315" s="433"/>
    </row>
    <row r="316" spans="1:10" x14ac:dyDescent="0.25">
      <c r="A316" s="431"/>
      <c r="B316" s="432"/>
      <c r="C316" s="432"/>
      <c r="D316" s="432"/>
      <c r="E316" s="432"/>
      <c r="F316" s="432"/>
      <c r="G316" s="432"/>
      <c r="H316" s="432"/>
      <c r="I316" s="432"/>
      <c r="J316" s="433"/>
    </row>
    <row r="317" spans="1:10" x14ac:dyDescent="0.25">
      <c r="A317" s="431"/>
      <c r="B317" s="432"/>
      <c r="C317" s="432"/>
      <c r="D317" s="432"/>
      <c r="E317" s="432"/>
      <c r="F317" s="432"/>
      <c r="G317" s="432"/>
      <c r="H317" s="432"/>
      <c r="I317" s="432"/>
      <c r="J317" s="433"/>
    </row>
    <row r="318" spans="1:10" x14ac:dyDescent="0.25">
      <c r="A318" s="431"/>
      <c r="B318" s="432"/>
      <c r="C318" s="432"/>
      <c r="D318" s="432"/>
      <c r="E318" s="432"/>
      <c r="F318" s="432"/>
      <c r="G318" s="432"/>
      <c r="H318" s="432"/>
      <c r="I318" s="432"/>
      <c r="J318" s="433"/>
    </row>
    <row r="319" spans="1:10" x14ac:dyDescent="0.25">
      <c r="A319" s="431"/>
      <c r="B319" s="432"/>
      <c r="C319" s="432"/>
      <c r="D319" s="432"/>
      <c r="E319" s="432"/>
      <c r="F319" s="432"/>
      <c r="G319" s="432"/>
      <c r="H319" s="432"/>
      <c r="I319" s="432"/>
      <c r="J319" s="433"/>
    </row>
    <row r="320" spans="1:10" x14ac:dyDescent="0.25">
      <c r="A320" s="431"/>
      <c r="B320" s="432"/>
      <c r="C320" s="432"/>
      <c r="D320" s="432"/>
      <c r="E320" s="432"/>
      <c r="F320" s="432"/>
      <c r="G320" s="432"/>
      <c r="H320" s="432"/>
      <c r="I320" s="432"/>
      <c r="J320" s="433"/>
    </row>
    <row r="321" spans="1:10" x14ac:dyDescent="0.25">
      <c r="A321" s="431"/>
      <c r="B321" s="432"/>
      <c r="C321" s="432"/>
      <c r="D321" s="432"/>
      <c r="E321" s="432"/>
      <c r="F321" s="432"/>
      <c r="G321" s="432"/>
      <c r="H321" s="432"/>
      <c r="I321" s="432"/>
      <c r="J321" s="433"/>
    </row>
    <row r="322" spans="1:10" x14ac:dyDescent="0.25">
      <c r="A322" s="431"/>
      <c r="B322" s="432"/>
      <c r="C322" s="432"/>
      <c r="D322" s="432"/>
      <c r="E322" s="432"/>
      <c r="F322" s="432"/>
      <c r="G322" s="432"/>
      <c r="H322" s="432"/>
      <c r="I322" s="432"/>
      <c r="J322" s="433"/>
    </row>
    <row r="323" spans="1:10" x14ac:dyDescent="0.25">
      <c r="A323" s="431"/>
      <c r="B323" s="432"/>
      <c r="C323" s="432"/>
      <c r="D323" s="432"/>
      <c r="E323" s="432"/>
      <c r="F323" s="432"/>
      <c r="G323" s="432"/>
      <c r="H323" s="432"/>
      <c r="I323" s="432"/>
      <c r="J323" s="433"/>
    </row>
    <row r="324" spans="1:10" x14ac:dyDescent="0.25">
      <c r="A324" s="431"/>
      <c r="B324" s="432"/>
      <c r="C324" s="432"/>
      <c r="D324" s="432"/>
      <c r="E324" s="432"/>
      <c r="F324" s="432"/>
      <c r="G324" s="432"/>
      <c r="H324" s="432"/>
      <c r="I324" s="432"/>
      <c r="J324" s="433"/>
    </row>
    <row r="325" spans="1:10" x14ac:dyDescent="0.25">
      <c r="A325" s="431"/>
      <c r="B325" s="432"/>
      <c r="C325" s="432"/>
      <c r="D325" s="432"/>
      <c r="E325" s="432"/>
      <c r="F325" s="432"/>
      <c r="G325" s="432"/>
      <c r="H325" s="432"/>
      <c r="I325" s="432"/>
      <c r="J325" s="433"/>
    </row>
    <row r="326" spans="1:10" x14ac:dyDescent="0.25">
      <c r="A326" s="431"/>
      <c r="B326" s="432"/>
      <c r="C326" s="432"/>
      <c r="D326" s="432"/>
      <c r="E326" s="432"/>
      <c r="F326" s="432"/>
      <c r="G326" s="432"/>
      <c r="H326" s="432"/>
      <c r="I326" s="432"/>
      <c r="J326" s="433"/>
    </row>
    <row r="327" spans="1:10" x14ac:dyDescent="0.25">
      <c r="A327" s="431"/>
      <c r="B327" s="432"/>
      <c r="C327" s="432"/>
      <c r="D327" s="432"/>
      <c r="E327" s="432"/>
      <c r="F327" s="432"/>
      <c r="G327" s="432"/>
      <c r="H327" s="432"/>
      <c r="I327" s="432"/>
      <c r="J327" s="433"/>
    </row>
    <row r="328" spans="1:10" x14ac:dyDescent="0.25">
      <c r="A328" s="431"/>
      <c r="B328" s="432"/>
      <c r="C328" s="432"/>
      <c r="D328" s="432"/>
      <c r="E328" s="432"/>
      <c r="F328" s="432"/>
      <c r="G328" s="432"/>
      <c r="H328" s="432"/>
      <c r="I328" s="432"/>
      <c r="J328" s="433"/>
    </row>
    <row r="329" spans="1:10" x14ac:dyDescent="0.25">
      <c r="A329" s="431"/>
      <c r="B329" s="432"/>
      <c r="C329" s="432"/>
      <c r="D329" s="432"/>
      <c r="E329" s="432"/>
      <c r="F329" s="432"/>
      <c r="G329" s="432"/>
      <c r="H329" s="432"/>
      <c r="I329" s="432"/>
      <c r="J329" s="433"/>
    </row>
    <row r="330" spans="1:10" x14ac:dyDescent="0.25">
      <c r="A330" s="431"/>
      <c r="B330" s="432"/>
      <c r="C330" s="432"/>
      <c r="D330" s="432"/>
      <c r="E330" s="432"/>
      <c r="F330" s="432"/>
      <c r="G330" s="432"/>
      <c r="H330" s="432"/>
      <c r="I330" s="432"/>
      <c r="J330" s="433"/>
    </row>
    <row r="331" spans="1:10" x14ac:dyDescent="0.25">
      <c r="A331" s="431"/>
      <c r="B331" s="432"/>
      <c r="C331" s="432"/>
      <c r="D331" s="432"/>
      <c r="E331" s="432"/>
      <c r="F331" s="432"/>
      <c r="G331" s="432"/>
      <c r="H331" s="432"/>
      <c r="I331" s="432"/>
      <c r="J331" s="433"/>
    </row>
    <row r="332" spans="1:10" x14ac:dyDescent="0.25">
      <c r="A332" s="431"/>
      <c r="B332" s="432"/>
      <c r="C332" s="432"/>
      <c r="D332" s="432"/>
      <c r="E332" s="432"/>
      <c r="F332" s="432"/>
      <c r="G332" s="432"/>
      <c r="H332" s="432"/>
      <c r="I332" s="432"/>
      <c r="J332" s="433"/>
    </row>
    <row r="333" spans="1:10" x14ac:dyDescent="0.25">
      <c r="A333" s="431"/>
      <c r="B333" s="432"/>
      <c r="C333" s="432"/>
      <c r="D333" s="432"/>
      <c r="E333" s="432"/>
      <c r="F333" s="432"/>
      <c r="G333" s="432"/>
      <c r="H333" s="432"/>
      <c r="I333" s="432"/>
      <c r="J333" s="433"/>
    </row>
    <row r="334" spans="1:10" x14ac:dyDescent="0.25">
      <c r="A334" s="431"/>
      <c r="B334" s="432"/>
      <c r="C334" s="432"/>
      <c r="D334" s="432"/>
      <c r="E334" s="432"/>
      <c r="F334" s="432"/>
      <c r="G334" s="432"/>
      <c r="H334" s="432"/>
      <c r="I334" s="432"/>
      <c r="J334" s="433"/>
    </row>
    <row r="335" spans="1:10" x14ac:dyDescent="0.25">
      <c r="A335" s="431"/>
      <c r="B335" s="432"/>
      <c r="C335" s="432"/>
      <c r="D335" s="432"/>
      <c r="E335" s="432"/>
      <c r="F335" s="432"/>
      <c r="G335" s="432"/>
      <c r="H335" s="432"/>
      <c r="I335" s="432"/>
      <c r="J335" s="433"/>
    </row>
    <row r="336" spans="1:10" x14ac:dyDescent="0.25">
      <c r="A336" s="431"/>
      <c r="B336" s="432"/>
      <c r="C336" s="432"/>
      <c r="D336" s="432"/>
      <c r="E336" s="432"/>
      <c r="F336" s="432"/>
      <c r="G336" s="432"/>
      <c r="H336" s="432"/>
      <c r="I336" s="432"/>
      <c r="J336" s="433"/>
    </row>
    <row r="337" spans="1:10" x14ac:dyDescent="0.25">
      <c r="A337" s="431"/>
      <c r="B337" s="432"/>
      <c r="C337" s="432"/>
      <c r="D337" s="432"/>
      <c r="E337" s="432"/>
      <c r="F337" s="432"/>
      <c r="G337" s="432"/>
      <c r="H337" s="432"/>
      <c r="I337" s="432"/>
      <c r="J337" s="433"/>
    </row>
    <row r="338" spans="1:10" x14ac:dyDescent="0.25">
      <c r="A338" s="431"/>
      <c r="B338" s="432"/>
      <c r="C338" s="432"/>
      <c r="D338" s="432"/>
      <c r="E338" s="432"/>
      <c r="F338" s="432"/>
      <c r="G338" s="432"/>
      <c r="H338" s="432"/>
      <c r="I338" s="432"/>
      <c r="J338" s="433"/>
    </row>
    <row r="339" spans="1:10" x14ac:dyDescent="0.25">
      <c r="A339" s="431"/>
      <c r="B339" s="432"/>
      <c r="C339" s="432"/>
      <c r="D339" s="432"/>
      <c r="E339" s="432"/>
      <c r="F339" s="432"/>
      <c r="G339" s="432"/>
      <c r="H339" s="432"/>
      <c r="I339" s="432"/>
      <c r="J339" s="433"/>
    </row>
    <row r="340" spans="1:10" x14ac:dyDescent="0.25">
      <c r="A340" s="431"/>
      <c r="B340" s="432"/>
      <c r="C340" s="432"/>
      <c r="D340" s="432"/>
      <c r="E340" s="432"/>
      <c r="F340" s="432"/>
      <c r="G340" s="432"/>
      <c r="H340" s="432"/>
      <c r="I340" s="432"/>
      <c r="J340" s="433"/>
    </row>
    <row r="341" spans="1:10" x14ac:dyDescent="0.25">
      <c r="A341" s="431"/>
      <c r="B341" s="432"/>
      <c r="C341" s="432"/>
      <c r="D341" s="432"/>
      <c r="E341" s="432"/>
      <c r="F341" s="432"/>
      <c r="G341" s="432"/>
      <c r="H341" s="432"/>
      <c r="I341" s="432"/>
      <c r="J341" s="433"/>
    </row>
    <row r="342" spans="1:10" x14ac:dyDescent="0.25">
      <c r="A342" s="431"/>
      <c r="B342" s="432"/>
      <c r="C342" s="432"/>
      <c r="D342" s="432"/>
      <c r="E342" s="432"/>
      <c r="F342" s="432"/>
      <c r="G342" s="432"/>
      <c r="H342" s="432"/>
      <c r="I342" s="432"/>
      <c r="J342" s="433"/>
    </row>
    <row r="343" spans="1:10" x14ac:dyDescent="0.25">
      <c r="A343" s="431"/>
      <c r="B343" s="432"/>
      <c r="C343" s="432"/>
      <c r="D343" s="432"/>
      <c r="E343" s="432"/>
      <c r="F343" s="432"/>
      <c r="G343" s="432"/>
      <c r="H343" s="432"/>
      <c r="I343" s="432"/>
      <c r="J343" s="433"/>
    </row>
    <row r="344" spans="1:10" x14ac:dyDescent="0.25">
      <c r="A344" s="434"/>
      <c r="B344" s="435"/>
      <c r="C344" s="435"/>
      <c r="D344" s="435"/>
      <c r="E344" s="435"/>
      <c r="F344" s="435"/>
      <c r="G344" s="435"/>
      <c r="H344" s="435"/>
      <c r="I344" s="435"/>
      <c r="J344" s="436"/>
    </row>
    <row r="346" spans="1:10" ht="15.6" x14ac:dyDescent="0.3">
      <c r="A346" s="372" t="s">
        <v>76</v>
      </c>
      <c r="B346" s="373"/>
      <c r="C346" s="373"/>
      <c r="D346" s="373"/>
      <c r="E346" s="373"/>
      <c r="F346" s="373"/>
      <c r="G346" s="373"/>
      <c r="H346" s="370" t="str">
        <f>'CONTACT INFORMATION'!$A$24</f>
        <v>Ventura</v>
      </c>
      <c r="I346" s="370"/>
      <c r="J346" s="371"/>
    </row>
    <row r="347" spans="1:10" ht="8.1" customHeight="1" x14ac:dyDescent="0.25">
      <c r="A347" s="152"/>
      <c r="B347" s="152"/>
      <c r="C347" s="152"/>
      <c r="D347" s="152"/>
      <c r="E347" s="152"/>
      <c r="F347" s="152"/>
      <c r="G347" s="152"/>
      <c r="H347" s="152"/>
      <c r="I347" s="152"/>
      <c r="J347" s="152"/>
    </row>
    <row r="348" spans="1:10" ht="13.8" x14ac:dyDescent="0.25">
      <c r="A348" s="460" t="s">
        <v>183</v>
      </c>
      <c r="B348" s="461"/>
      <c r="C348" s="461"/>
      <c r="D348" s="461"/>
      <c r="E348" s="461"/>
      <c r="F348" s="461"/>
      <c r="G348" s="461"/>
      <c r="H348" s="461"/>
      <c r="I348" s="461"/>
      <c r="J348" s="462"/>
    </row>
    <row r="349" spans="1:10" x14ac:dyDescent="0.25">
      <c r="A349" s="463" t="s">
        <v>151</v>
      </c>
      <c r="B349" s="464"/>
      <c r="C349" s="464"/>
      <c r="D349" s="465"/>
      <c r="E349" s="518" t="s">
        <v>184</v>
      </c>
      <c r="F349" s="519"/>
      <c r="G349" s="519"/>
      <c r="H349" s="519"/>
      <c r="I349" s="519"/>
      <c r="J349" s="520"/>
    </row>
    <row r="350" spans="1:10" x14ac:dyDescent="0.25">
      <c r="A350" s="472" t="s">
        <v>181</v>
      </c>
      <c r="B350" s="473"/>
      <c r="C350" s="473"/>
      <c r="D350" s="474"/>
      <c r="E350" s="521"/>
      <c r="F350" s="522"/>
      <c r="G350" s="522"/>
      <c r="H350" s="522"/>
      <c r="I350" s="522"/>
      <c r="J350" s="523"/>
    </row>
    <row r="351" spans="1:10" x14ac:dyDescent="0.25">
      <c r="A351" s="475" t="s">
        <v>182</v>
      </c>
      <c r="B351" s="476"/>
      <c r="C351" s="476"/>
      <c r="D351" s="477"/>
      <c r="E351" s="485" t="s">
        <v>131</v>
      </c>
      <c r="F351" s="486"/>
      <c r="G351" s="486"/>
      <c r="H351" s="486"/>
      <c r="I351" s="486"/>
      <c r="J351" s="487"/>
    </row>
    <row r="352" spans="1:10" ht="27" customHeight="1" x14ac:dyDescent="0.25">
      <c r="A352" s="146"/>
      <c r="B352" s="220"/>
      <c r="C352" s="220"/>
      <c r="D352" s="220"/>
      <c r="E352" s="481" t="s">
        <v>155</v>
      </c>
      <c r="F352" s="482"/>
      <c r="G352" s="481" t="s">
        <v>156</v>
      </c>
      <c r="H352" s="482"/>
      <c r="I352" s="483" t="s">
        <v>157</v>
      </c>
      <c r="J352" s="484"/>
    </row>
    <row r="353" spans="1:10" x14ac:dyDescent="0.25">
      <c r="A353" s="449" t="s">
        <v>158</v>
      </c>
      <c r="B353" s="450"/>
      <c r="C353" s="450"/>
      <c r="D353" s="451"/>
      <c r="E353" s="458"/>
      <c r="F353" s="458"/>
      <c r="G353" s="458"/>
      <c r="H353" s="458"/>
      <c r="I353" s="459"/>
      <c r="J353" s="459"/>
    </row>
    <row r="354" spans="1:10" x14ac:dyDescent="0.25">
      <c r="A354" s="454" t="s">
        <v>159</v>
      </c>
      <c r="B354" s="455"/>
      <c r="C354" s="455"/>
      <c r="D354" s="456"/>
      <c r="E354" s="440"/>
      <c r="F354" s="440"/>
      <c r="G354" s="441"/>
      <c r="H354" s="441"/>
      <c r="I354" s="457"/>
      <c r="J354" s="457"/>
    </row>
    <row r="355" spans="1:10" x14ac:dyDescent="0.25">
      <c r="A355" s="449" t="s">
        <v>160</v>
      </c>
      <c r="B355" s="450"/>
      <c r="C355" s="450"/>
      <c r="D355" s="451"/>
      <c r="E355" s="458"/>
      <c r="F355" s="458"/>
      <c r="G355" s="458"/>
      <c r="H355" s="458"/>
      <c r="I355" s="459"/>
      <c r="J355" s="459"/>
    </row>
    <row r="356" spans="1:10" x14ac:dyDescent="0.25">
      <c r="A356" s="454" t="s">
        <v>161</v>
      </c>
      <c r="B356" s="455"/>
      <c r="C356" s="455"/>
      <c r="D356" s="456"/>
      <c r="E356" s="508">
        <v>9941</v>
      </c>
      <c r="F356" s="509"/>
      <c r="G356" s="441"/>
      <c r="H356" s="441"/>
      <c r="I356" s="457"/>
      <c r="J356" s="457"/>
    </row>
    <row r="357" spans="1:10" x14ac:dyDescent="0.25">
      <c r="A357" s="449" t="s">
        <v>162</v>
      </c>
      <c r="B357" s="450"/>
      <c r="C357" s="450"/>
      <c r="D357" s="451"/>
      <c r="E357" s="510" t="s">
        <v>174</v>
      </c>
      <c r="F357" s="511"/>
      <c r="G357" s="458"/>
      <c r="H357" s="458"/>
      <c r="I357" s="459"/>
      <c r="J357" s="459"/>
    </row>
    <row r="358" spans="1:10" x14ac:dyDescent="0.25">
      <c r="A358" s="454" t="s">
        <v>163</v>
      </c>
      <c r="B358" s="455"/>
      <c r="C358" s="455"/>
      <c r="D358" s="456"/>
      <c r="E358" s="508">
        <v>12481</v>
      </c>
      <c r="F358" s="509"/>
      <c r="G358" s="441"/>
      <c r="H358" s="441"/>
      <c r="I358" s="457"/>
      <c r="J358" s="457"/>
    </row>
    <row r="359" spans="1:10" x14ac:dyDescent="0.25">
      <c r="A359" s="449" t="s">
        <v>164</v>
      </c>
      <c r="B359" s="450"/>
      <c r="C359" s="450"/>
      <c r="D359" s="451"/>
      <c r="E359" s="452"/>
      <c r="F359" s="452"/>
      <c r="G359" s="452"/>
      <c r="H359" s="452"/>
      <c r="I359" s="453"/>
      <c r="J359" s="453"/>
    </row>
    <row r="360" spans="1:10" x14ac:dyDescent="0.25">
      <c r="A360" s="437"/>
      <c r="B360" s="438"/>
      <c r="C360" s="438"/>
      <c r="D360" s="439"/>
      <c r="E360" s="440"/>
      <c r="F360" s="440"/>
      <c r="G360" s="441"/>
      <c r="H360" s="441"/>
      <c r="I360" s="441"/>
      <c r="J360" s="441"/>
    </row>
    <row r="361" spans="1:10" x14ac:dyDescent="0.25">
      <c r="A361" s="437"/>
      <c r="B361" s="438"/>
      <c r="C361" s="438"/>
      <c r="D361" s="439"/>
      <c r="E361" s="440"/>
      <c r="F361" s="440"/>
      <c r="G361" s="441"/>
      <c r="H361" s="441"/>
      <c r="I361" s="441"/>
      <c r="J361" s="441"/>
    </row>
    <row r="362" spans="1:10" x14ac:dyDescent="0.25">
      <c r="A362" s="437"/>
      <c r="B362" s="438"/>
      <c r="C362" s="438"/>
      <c r="D362" s="439"/>
      <c r="E362" s="440"/>
      <c r="F362" s="440"/>
      <c r="G362" s="441"/>
      <c r="H362" s="441"/>
      <c r="I362" s="441"/>
      <c r="J362" s="441"/>
    </row>
    <row r="363" spans="1:10" x14ac:dyDescent="0.25">
      <c r="A363" s="442" t="s">
        <v>165</v>
      </c>
      <c r="B363" s="443"/>
      <c r="C363" s="443"/>
      <c r="D363" s="444"/>
      <c r="E363" s="445">
        <f>SUM(E353:E362)</f>
        <v>22422</v>
      </c>
      <c r="F363" s="445"/>
      <c r="G363" s="445">
        <f>SUM(G353:G362)</f>
        <v>0</v>
      </c>
      <c r="H363" s="445"/>
      <c r="I363" s="445">
        <f>SUM(I353:I362)</f>
        <v>0</v>
      </c>
      <c r="J363" s="445"/>
    </row>
    <row r="364" spans="1:10" x14ac:dyDescent="0.25">
      <c r="A364" s="446" t="s">
        <v>166</v>
      </c>
      <c r="B364" s="447"/>
      <c r="C364" s="447"/>
      <c r="D364" s="447"/>
      <c r="E364" s="447"/>
      <c r="F364" s="447"/>
      <c r="G364" s="447"/>
      <c r="H364" s="447"/>
      <c r="I364" s="447"/>
      <c r="J364" s="448"/>
    </row>
    <row r="365" spans="1:10" x14ac:dyDescent="0.25">
      <c r="A365" s="423" t="s">
        <v>167</v>
      </c>
      <c r="B365" s="424"/>
      <c r="C365" s="424"/>
      <c r="D365" s="424"/>
      <c r="E365" s="424"/>
      <c r="F365" s="424"/>
      <c r="G365" s="424"/>
      <c r="H365" s="424"/>
      <c r="I365" s="424"/>
      <c r="J365" s="425"/>
    </row>
    <row r="366" spans="1:10" x14ac:dyDescent="0.25">
      <c r="A366" s="423" t="s">
        <v>168</v>
      </c>
      <c r="B366" s="424"/>
      <c r="C366" s="424"/>
      <c r="D366" s="424"/>
      <c r="E366" s="424"/>
      <c r="F366" s="424"/>
      <c r="G366" s="424"/>
      <c r="H366" s="424"/>
      <c r="I366" s="424"/>
      <c r="J366" s="425"/>
    </row>
    <row r="367" spans="1:10" x14ac:dyDescent="0.25">
      <c r="A367" s="426" t="s">
        <v>169</v>
      </c>
      <c r="B367" s="427"/>
      <c r="C367" s="427"/>
      <c r="D367" s="427"/>
      <c r="E367" s="427"/>
      <c r="F367" s="427"/>
      <c r="G367" s="427"/>
      <c r="H367" s="427"/>
      <c r="I367" s="427"/>
      <c r="J367" s="428"/>
    </row>
    <row r="368" spans="1:10" x14ac:dyDescent="0.25">
      <c r="A368" s="316" t="s">
        <v>955</v>
      </c>
      <c r="B368" s="429"/>
      <c r="C368" s="429"/>
      <c r="D368" s="429"/>
      <c r="E368" s="429"/>
      <c r="F368" s="429"/>
      <c r="G368" s="429"/>
      <c r="H368" s="429"/>
      <c r="I368" s="429"/>
      <c r="J368" s="430"/>
    </row>
    <row r="369" spans="1:10" x14ac:dyDescent="0.25">
      <c r="A369" s="431"/>
      <c r="B369" s="432"/>
      <c r="C369" s="432"/>
      <c r="D369" s="432"/>
      <c r="E369" s="432"/>
      <c r="F369" s="432"/>
      <c r="G369" s="432"/>
      <c r="H369" s="432"/>
      <c r="I369" s="432"/>
      <c r="J369" s="433"/>
    </row>
    <row r="370" spans="1:10" x14ac:dyDescent="0.25">
      <c r="A370" s="431"/>
      <c r="B370" s="432"/>
      <c r="C370" s="432"/>
      <c r="D370" s="432"/>
      <c r="E370" s="432"/>
      <c r="F370" s="432"/>
      <c r="G370" s="432"/>
      <c r="H370" s="432"/>
      <c r="I370" s="432"/>
      <c r="J370" s="433"/>
    </row>
    <row r="371" spans="1:10" x14ac:dyDescent="0.25">
      <c r="A371" s="431"/>
      <c r="B371" s="432"/>
      <c r="C371" s="432"/>
      <c r="D371" s="432"/>
      <c r="E371" s="432"/>
      <c r="F371" s="432"/>
      <c r="G371" s="432"/>
      <c r="H371" s="432"/>
      <c r="I371" s="432"/>
      <c r="J371" s="433"/>
    </row>
    <row r="372" spans="1:10" x14ac:dyDescent="0.25">
      <c r="A372" s="431"/>
      <c r="B372" s="432"/>
      <c r="C372" s="432"/>
      <c r="D372" s="432"/>
      <c r="E372" s="432"/>
      <c r="F372" s="432"/>
      <c r="G372" s="432"/>
      <c r="H372" s="432"/>
      <c r="I372" s="432"/>
      <c r="J372" s="433"/>
    </row>
    <row r="373" spans="1:10" x14ac:dyDescent="0.25">
      <c r="A373" s="431"/>
      <c r="B373" s="432"/>
      <c r="C373" s="432"/>
      <c r="D373" s="432"/>
      <c r="E373" s="432"/>
      <c r="F373" s="432"/>
      <c r="G373" s="432"/>
      <c r="H373" s="432"/>
      <c r="I373" s="432"/>
      <c r="J373" s="433"/>
    </row>
    <row r="374" spans="1:10" x14ac:dyDescent="0.25">
      <c r="A374" s="431"/>
      <c r="B374" s="432"/>
      <c r="C374" s="432"/>
      <c r="D374" s="432"/>
      <c r="E374" s="432"/>
      <c r="F374" s="432"/>
      <c r="G374" s="432"/>
      <c r="H374" s="432"/>
      <c r="I374" s="432"/>
      <c r="J374" s="433"/>
    </row>
    <row r="375" spans="1:10" x14ac:dyDescent="0.25">
      <c r="A375" s="431"/>
      <c r="B375" s="432"/>
      <c r="C375" s="432"/>
      <c r="D375" s="432"/>
      <c r="E375" s="432"/>
      <c r="F375" s="432"/>
      <c r="G375" s="432"/>
      <c r="H375" s="432"/>
      <c r="I375" s="432"/>
      <c r="J375" s="433"/>
    </row>
    <row r="376" spans="1:10" x14ac:dyDescent="0.25">
      <c r="A376" s="431"/>
      <c r="B376" s="432"/>
      <c r="C376" s="432"/>
      <c r="D376" s="432"/>
      <c r="E376" s="432"/>
      <c r="F376" s="432"/>
      <c r="G376" s="432"/>
      <c r="H376" s="432"/>
      <c r="I376" s="432"/>
      <c r="J376" s="433"/>
    </row>
    <row r="377" spans="1:10" x14ac:dyDescent="0.25">
      <c r="A377" s="431"/>
      <c r="B377" s="432"/>
      <c r="C377" s="432"/>
      <c r="D377" s="432"/>
      <c r="E377" s="432"/>
      <c r="F377" s="432"/>
      <c r="G377" s="432"/>
      <c r="H377" s="432"/>
      <c r="I377" s="432"/>
      <c r="J377" s="433"/>
    </row>
    <row r="378" spans="1:10" x14ac:dyDescent="0.25">
      <c r="A378" s="431"/>
      <c r="B378" s="432"/>
      <c r="C378" s="432"/>
      <c r="D378" s="432"/>
      <c r="E378" s="432"/>
      <c r="F378" s="432"/>
      <c r="G378" s="432"/>
      <c r="H378" s="432"/>
      <c r="I378" s="432"/>
      <c r="J378" s="433"/>
    </row>
    <row r="379" spans="1:10" x14ac:dyDescent="0.25">
      <c r="A379" s="431"/>
      <c r="B379" s="432"/>
      <c r="C379" s="432"/>
      <c r="D379" s="432"/>
      <c r="E379" s="432"/>
      <c r="F379" s="432"/>
      <c r="G379" s="432"/>
      <c r="H379" s="432"/>
      <c r="I379" s="432"/>
      <c r="J379" s="433"/>
    </row>
    <row r="380" spans="1:10" x14ac:dyDescent="0.25">
      <c r="A380" s="431"/>
      <c r="B380" s="432"/>
      <c r="C380" s="432"/>
      <c r="D380" s="432"/>
      <c r="E380" s="432"/>
      <c r="F380" s="432"/>
      <c r="G380" s="432"/>
      <c r="H380" s="432"/>
      <c r="I380" s="432"/>
      <c r="J380" s="433"/>
    </row>
    <row r="381" spans="1:10" x14ac:dyDescent="0.25">
      <c r="A381" s="431"/>
      <c r="B381" s="432"/>
      <c r="C381" s="432"/>
      <c r="D381" s="432"/>
      <c r="E381" s="432"/>
      <c r="F381" s="432"/>
      <c r="G381" s="432"/>
      <c r="H381" s="432"/>
      <c r="I381" s="432"/>
      <c r="J381" s="433"/>
    </row>
    <row r="382" spans="1:10" x14ac:dyDescent="0.25">
      <c r="A382" s="431"/>
      <c r="B382" s="432"/>
      <c r="C382" s="432"/>
      <c r="D382" s="432"/>
      <c r="E382" s="432"/>
      <c r="F382" s="432"/>
      <c r="G382" s="432"/>
      <c r="H382" s="432"/>
      <c r="I382" s="432"/>
      <c r="J382" s="433"/>
    </row>
    <row r="383" spans="1:10" x14ac:dyDescent="0.25">
      <c r="A383" s="431"/>
      <c r="B383" s="432"/>
      <c r="C383" s="432"/>
      <c r="D383" s="432"/>
      <c r="E383" s="432"/>
      <c r="F383" s="432"/>
      <c r="G383" s="432"/>
      <c r="H383" s="432"/>
      <c r="I383" s="432"/>
      <c r="J383" s="433"/>
    </row>
    <row r="384" spans="1:10" x14ac:dyDescent="0.25">
      <c r="A384" s="431"/>
      <c r="B384" s="432"/>
      <c r="C384" s="432"/>
      <c r="D384" s="432"/>
      <c r="E384" s="432"/>
      <c r="F384" s="432"/>
      <c r="G384" s="432"/>
      <c r="H384" s="432"/>
      <c r="I384" s="432"/>
      <c r="J384" s="433"/>
    </row>
    <row r="385" spans="1:10" x14ac:dyDescent="0.25">
      <c r="A385" s="431"/>
      <c r="B385" s="432"/>
      <c r="C385" s="432"/>
      <c r="D385" s="432"/>
      <c r="E385" s="432"/>
      <c r="F385" s="432"/>
      <c r="G385" s="432"/>
      <c r="H385" s="432"/>
      <c r="I385" s="432"/>
      <c r="J385" s="433"/>
    </row>
    <row r="386" spans="1:10" x14ac:dyDescent="0.25">
      <c r="A386" s="431"/>
      <c r="B386" s="432"/>
      <c r="C386" s="432"/>
      <c r="D386" s="432"/>
      <c r="E386" s="432"/>
      <c r="F386" s="432"/>
      <c r="G386" s="432"/>
      <c r="H386" s="432"/>
      <c r="I386" s="432"/>
      <c r="J386" s="433"/>
    </row>
    <row r="387" spans="1:10" x14ac:dyDescent="0.25">
      <c r="A387" s="431"/>
      <c r="B387" s="432"/>
      <c r="C387" s="432"/>
      <c r="D387" s="432"/>
      <c r="E387" s="432"/>
      <c r="F387" s="432"/>
      <c r="G387" s="432"/>
      <c r="H387" s="432"/>
      <c r="I387" s="432"/>
      <c r="J387" s="433"/>
    </row>
    <row r="388" spans="1:10" x14ac:dyDescent="0.25">
      <c r="A388" s="431"/>
      <c r="B388" s="432"/>
      <c r="C388" s="432"/>
      <c r="D388" s="432"/>
      <c r="E388" s="432"/>
      <c r="F388" s="432"/>
      <c r="G388" s="432"/>
      <c r="H388" s="432"/>
      <c r="I388" s="432"/>
      <c r="J388" s="433"/>
    </row>
    <row r="389" spans="1:10" x14ac:dyDescent="0.25">
      <c r="A389" s="431"/>
      <c r="B389" s="432"/>
      <c r="C389" s="432"/>
      <c r="D389" s="432"/>
      <c r="E389" s="432"/>
      <c r="F389" s="432"/>
      <c r="G389" s="432"/>
      <c r="H389" s="432"/>
      <c r="I389" s="432"/>
      <c r="J389" s="433"/>
    </row>
    <row r="390" spans="1:10" x14ac:dyDescent="0.25">
      <c r="A390" s="431"/>
      <c r="B390" s="432"/>
      <c r="C390" s="432"/>
      <c r="D390" s="432"/>
      <c r="E390" s="432"/>
      <c r="F390" s="432"/>
      <c r="G390" s="432"/>
      <c r="H390" s="432"/>
      <c r="I390" s="432"/>
      <c r="J390" s="433"/>
    </row>
    <row r="391" spans="1:10" x14ac:dyDescent="0.25">
      <c r="A391" s="431"/>
      <c r="B391" s="432"/>
      <c r="C391" s="432"/>
      <c r="D391" s="432"/>
      <c r="E391" s="432"/>
      <c r="F391" s="432"/>
      <c r="G391" s="432"/>
      <c r="H391" s="432"/>
      <c r="I391" s="432"/>
      <c r="J391" s="433"/>
    </row>
    <row r="392" spans="1:10" x14ac:dyDescent="0.25">
      <c r="A392" s="431"/>
      <c r="B392" s="432"/>
      <c r="C392" s="432"/>
      <c r="D392" s="432"/>
      <c r="E392" s="432"/>
      <c r="F392" s="432"/>
      <c r="G392" s="432"/>
      <c r="H392" s="432"/>
      <c r="I392" s="432"/>
      <c r="J392" s="433"/>
    </row>
    <row r="393" spans="1:10" x14ac:dyDescent="0.25">
      <c r="A393" s="431"/>
      <c r="B393" s="432"/>
      <c r="C393" s="432"/>
      <c r="D393" s="432"/>
      <c r="E393" s="432"/>
      <c r="F393" s="432"/>
      <c r="G393" s="432"/>
      <c r="H393" s="432"/>
      <c r="I393" s="432"/>
      <c r="J393" s="433"/>
    </row>
    <row r="394" spans="1:10" x14ac:dyDescent="0.25">
      <c r="A394" s="431"/>
      <c r="B394" s="432"/>
      <c r="C394" s="432"/>
      <c r="D394" s="432"/>
      <c r="E394" s="432"/>
      <c r="F394" s="432"/>
      <c r="G394" s="432"/>
      <c r="H394" s="432"/>
      <c r="I394" s="432"/>
      <c r="J394" s="433"/>
    </row>
    <row r="395" spans="1:10" x14ac:dyDescent="0.25">
      <c r="A395" s="431"/>
      <c r="B395" s="432"/>
      <c r="C395" s="432"/>
      <c r="D395" s="432"/>
      <c r="E395" s="432"/>
      <c r="F395" s="432"/>
      <c r="G395" s="432"/>
      <c r="H395" s="432"/>
      <c r="I395" s="432"/>
      <c r="J395" s="433"/>
    </row>
    <row r="396" spans="1:10" x14ac:dyDescent="0.25">
      <c r="A396" s="431"/>
      <c r="B396" s="432"/>
      <c r="C396" s="432"/>
      <c r="D396" s="432"/>
      <c r="E396" s="432"/>
      <c r="F396" s="432"/>
      <c r="G396" s="432"/>
      <c r="H396" s="432"/>
      <c r="I396" s="432"/>
      <c r="J396" s="433"/>
    </row>
    <row r="397" spans="1:10" x14ac:dyDescent="0.25">
      <c r="A397" s="431"/>
      <c r="B397" s="432"/>
      <c r="C397" s="432"/>
      <c r="D397" s="432"/>
      <c r="E397" s="432"/>
      <c r="F397" s="432"/>
      <c r="G397" s="432"/>
      <c r="H397" s="432"/>
      <c r="I397" s="432"/>
      <c r="J397" s="433"/>
    </row>
    <row r="398" spans="1:10" x14ac:dyDescent="0.25">
      <c r="A398" s="431"/>
      <c r="B398" s="432"/>
      <c r="C398" s="432"/>
      <c r="D398" s="432"/>
      <c r="E398" s="432"/>
      <c r="F398" s="432"/>
      <c r="G398" s="432"/>
      <c r="H398" s="432"/>
      <c r="I398" s="432"/>
      <c r="J398" s="433"/>
    </row>
    <row r="399" spans="1:10" x14ac:dyDescent="0.25">
      <c r="A399" s="431"/>
      <c r="B399" s="432"/>
      <c r="C399" s="432"/>
      <c r="D399" s="432"/>
      <c r="E399" s="432"/>
      <c r="F399" s="432"/>
      <c r="G399" s="432"/>
      <c r="H399" s="432"/>
      <c r="I399" s="432"/>
      <c r="J399" s="433"/>
    </row>
    <row r="400" spans="1:10" x14ac:dyDescent="0.25">
      <c r="A400" s="431"/>
      <c r="B400" s="432"/>
      <c r="C400" s="432"/>
      <c r="D400" s="432"/>
      <c r="E400" s="432"/>
      <c r="F400" s="432"/>
      <c r="G400" s="432"/>
      <c r="H400" s="432"/>
      <c r="I400" s="432"/>
      <c r="J400" s="433"/>
    </row>
    <row r="401" spans="1:10" x14ac:dyDescent="0.25">
      <c r="A401" s="431"/>
      <c r="B401" s="432"/>
      <c r="C401" s="432"/>
      <c r="D401" s="432"/>
      <c r="E401" s="432"/>
      <c r="F401" s="432"/>
      <c r="G401" s="432"/>
      <c r="H401" s="432"/>
      <c r="I401" s="432"/>
      <c r="J401" s="433"/>
    </row>
    <row r="402" spans="1:10" x14ac:dyDescent="0.25">
      <c r="A402" s="434"/>
      <c r="B402" s="435"/>
      <c r="C402" s="435"/>
      <c r="D402" s="435"/>
      <c r="E402" s="435"/>
      <c r="F402" s="435"/>
      <c r="G402" s="435"/>
      <c r="H402" s="435"/>
      <c r="I402" s="435"/>
      <c r="J402" s="436"/>
    </row>
    <row r="404" spans="1:10" ht="15.6" x14ac:dyDescent="0.3">
      <c r="A404" s="372" t="s">
        <v>76</v>
      </c>
      <c r="B404" s="373"/>
      <c r="C404" s="373"/>
      <c r="D404" s="373"/>
      <c r="E404" s="373"/>
      <c r="F404" s="373"/>
      <c r="G404" s="373"/>
      <c r="H404" s="370" t="str">
        <f>'CONTACT INFORMATION'!$A$24</f>
        <v>Ventura</v>
      </c>
      <c r="I404" s="370"/>
      <c r="J404" s="371"/>
    </row>
    <row r="405" spans="1:10" ht="8.1" customHeight="1" x14ac:dyDescent="0.25">
      <c r="A405" s="152"/>
      <c r="B405" s="152"/>
      <c r="C405" s="152"/>
      <c r="D405" s="152"/>
      <c r="E405" s="152"/>
      <c r="F405" s="152"/>
      <c r="G405" s="152"/>
      <c r="H405" s="152"/>
      <c r="I405" s="152"/>
      <c r="J405" s="152"/>
    </row>
    <row r="406" spans="1:10" ht="13.8" x14ac:dyDescent="0.25">
      <c r="A406" s="460" t="s">
        <v>185</v>
      </c>
      <c r="B406" s="461"/>
      <c r="C406" s="461"/>
      <c r="D406" s="461"/>
      <c r="E406" s="461"/>
      <c r="F406" s="461"/>
      <c r="G406" s="461"/>
      <c r="H406" s="461"/>
      <c r="I406" s="461"/>
      <c r="J406" s="462"/>
    </row>
    <row r="407" spans="1:10" ht="15.75" customHeight="1" x14ac:dyDescent="0.25">
      <c r="A407" s="463" t="s">
        <v>151</v>
      </c>
      <c r="B407" s="464"/>
      <c r="C407" s="464"/>
      <c r="D407" s="465"/>
      <c r="E407" s="512" t="s">
        <v>186</v>
      </c>
      <c r="F407" s="513"/>
      <c r="G407" s="513"/>
      <c r="H407" s="513"/>
      <c r="I407" s="513"/>
      <c r="J407" s="514"/>
    </row>
    <row r="408" spans="1:10" x14ac:dyDescent="0.25">
      <c r="A408" s="472" t="s">
        <v>181</v>
      </c>
      <c r="B408" s="473"/>
      <c r="C408" s="473"/>
      <c r="D408" s="474"/>
      <c r="E408" s="515"/>
      <c r="F408" s="516"/>
      <c r="G408" s="516"/>
      <c r="H408" s="516"/>
      <c r="I408" s="516"/>
      <c r="J408" s="517"/>
    </row>
    <row r="409" spans="1:10" x14ac:dyDescent="0.25">
      <c r="A409" s="475" t="s">
        <v>182</v>
      </c>
      <c r="B409" s="476"/>
      <c r="C409" s="476"/>
      <c r="D409" s="477"/>
      <c r="E409" s="485" t="s">
        <v>131</v>
      </c>
      <c r="F409" s="486"/>
      <c r="G409" s="486"/>
      <c r="H409" s="486"/>
      <c r="I409" s="486"/>
      <c r="J409" s="487"/>
    </row>
    <row r="410" spans="1:10" ht="27" customHeight="1" x14ac:dyDescent="0.25">
      <c r="A410" s="146"/>
      <c r="B410" s="220"/>
      <c r="C410" s="220"/>
      <c r="D410" s="220"/>
      <c r="E410" s="481" t="s">
        <v>155</v>
      </c>
      <c r="F410" s="482"/>
      <c r="G410" s="481" t="s">
        <v>156</v>
      </c>
      <c r="H410" s="482"/>
      <c r="I410" s="483" t="s">
        <v>157</v>
      </c>
      <c r="J410" s="484"/>
    </row>
    <row r="411" spans="1:10" x14ac:dyDescent="0.25">
      <c r="A411" s="449" t="s">
        <v>158</v>
      </c>
      <c r="B411" s="450"/>
      <c r="C411" s="450"/>
      <c r="D411" s="451"/>
      <c r="E411" s="458"/>
      <c r="F411" s="458"/>
      <c r="G411" s="458"/>
      <c r="H411" s="458"/>
      <c r="I411" s="459"/>
      <c r="J411" s="459"/>
    </row>
    <row r="412" spans="1:10" x14ac:dyDescent="0.25">
      <c r="A412" s="454" t="s">
        <v>159</v>
      </c>
      <c r="B412" s="455"/>
      <c r="C412" s="455"/>
      <c r="D412" s="456"/>
      <c r="E412" s="440"/>
      <c r="F412" s="440"/>
      <c r="G412" s="441"/>
      <c r="H412" s="441"/>
      <c r="I412" s="457"/>
      <c r="J412" s="457"/>
    </row>
    <row r="413" spans="1:10" x14ac:dyDescent="0.25">
      <c r="A413" s="449" t="s">
        <v>160</v>
      </c>
      <c r="B413" s="450"/>
      <c r="C413" s="450"/>
      <c r="D413" s="451"/>
      <c r="E413" s="458"/>
      <c r="F413" s="458"/>
      <c r="G413" s="458"/>
      <c r="H413" s="458"/>
      <c r="I413" s="459"/>
      <c r="J413" s="459"/>
    </row>
    <row r="414" spans="1:10" x14ac:dyDescent="0.25">
      <c r="A414" s="454" t="s">
        <v>161</v>
      </c>
      <c r="B414" s="455"/>
      <c r="C414" s="455"/>
      <c r="D414" s="456"/>
      <c r="E414" s="508">
        <v>19752</v>
      </c>
      <c r="F414" s="509"/>
      <c r="G414" s="441"/>
      <c r="H414" s="441"/>
      <c r="I414" s="457"/>
      <c r="J414" s="457"/>
    </row>
    <row r="415" spans="1:10" x14ac:dyDescent="0.25">
      <c r="A415" s="449" t="s">
        <v>162</v>
      </c>
      <c r="B415" s="450"/>
      <c r="C415" s="450"/>
      <c r="D415" s="451"/>
      <c r="E415" s="510" t="s">
        <v>174</v>
      </c>
      <c r="F415" s="511"/>
      <c r="G415" s="458"/>
      <c r="H415" s="458"/>
      <c r="I415" s="459"/>
      <c r="J415" s="459"/>
    </row>
    <row r="416" spans="1:10" x14ac:dyDescent="0.25">
      <c r="A416" s="454" t="s">
        <v>163</v>
      </c>
      <c r="B416" s="455"/>
      <c r="C416" s="455"/>
      <c r="D416" s="456"/>
      <c r="E416" s="508">
        <v>2496</v>
      </c>
      <c r="F416" s="509"/>
      <c r="G416" s="441"/>
      <c r="H416" s="441"/>
      <c r="I416" s="457"/>
      <c r="J416" s="457"/>
    </row>
    <row r="417" spans="1:10" x14ac:dyDescent="0.25">
      <c r="A417" s="449" t="s">
        <v>164</v>
      </c>
      <c r="B417" s="450"/>
      <c r="C417" s="450"/>
      <c r="D417" s="451"/>
      <c r="E417" s="452"/>
      <c r="F417" s="452"/>
      <c r="G417" s="452"/>
      <c r="H417" s="452"/>
      <c r="I417" s="453"/>
      <c r="J417" s="453"/>
    </row>
    <row r="418" spans="1:10" x14ac:dyDescent="0.25">
      <c r="A418" s="437"/>
      <c r="B418" s="438"/>
      <c r="C418" s="438"/>
      <c r="D418" s="439"/>
      <c r="E418" s="440"/>
      <c r="F418" s="440"/>
      <c r="G418" s="441"/>
      <c r="H418" s="441"/>
      <c r="I418" s="441"/>
      <c r="J418" s="441"/>
    </row>
    <row r="419" spans="1:10" x14ac:dyDescent="0.25">
      <c r="A419" s="437"/>
      <c r="B419" s="438"/>
      <c r="C419" s="438"/>
      <c r="D419" s="439"/>
      <c r="E419" s="440"/>
      <c r="F419" s="440"/>
      <c r="G419" s="441"/>
      <c r="H419" s="441"/>
      <c r="I419" s="441"/>
      <c r="J419" s="441"/>
    </row>
    <row r="420" spans="1:10" x14ac:dyDescent="0.25">
      <c r="A420" s="437"/>
      <c r="B420" s="438"/>
      <c r="C420" s="438"/>
      <c r="D420" s="439"/>
      <c r="E420" s="440"/>
      <c r="F420" s="440"/>
      <c r="G420" s="441"/>
      <c r="H420" s="441"/>
      <c r="I420" s="441"/>
      <c r="J420" s="441"/>
    </row>
    <row r="421" spans="1:10" x14ac:dyDescent="0.25">
      <c r="A421" s="442" t="s">
        <v>165</v>
      </c>
      <c r="B421" s="443"/>
      <c r="C421" s="443"/>
      <c r="D421" s="444"/>
      <c r="E421" s="445">
        <f>SUM(E411:E420)</f>
        <v>22248</v>
      </c>
      <c r="F421" s="445"/>
      <c r="G421" s="445">
        <f>SUM(G411:G420)</f>
        <v>0</v>
      </c>
      <c r="H421" s="445"/>
      <c r="I421" s="445">
        <f>SUM(I411:I420)</f>
        <v>0</v>
      </c>
      <c r="J421" s="445"/>
    </row>
    <row r="422" spans="1:10" x14ac:dyDescent="0.25">
      <c r="A422" s="446" t="s">
        <v>166</v>
      </c>
      <c r="B422" s="447"/>
      <c r="C422" s="447"/>
      <c r="D422" s="447"/>
      <c r="E422" s="447"/>
      <c r="F422" s="447"/>
      <c r="G422" s="447"/>
      <c r="H422" s="447"/>
      <c r="I422" s="447"/>
      <c r="J422" s="448"/>
    </row>
    <row r="423" spans="1:10" x14ac:dyDescent="0.25">
      <c r="A423" s="423" t="s">
        <v>167</v>
      </c>
      <c r="B423" s="424"/>
      <c r="C423" s="424"/>
      <c r="D423" s="424"/>
      <c r="E423" s="424"/>
      <c r="F423" s="424"/>
      <c r="G423" s="424"/>
      <c r="H423" s="424"/>
      <c r="I423" s="424"/>
      <c r="J423" s="425"/>
    </row>
    <row r="424" spans="1:10" x14ac:dyDescent="0.25">
      <c r="A424" s="423" t="s">
        <v>168</v>
      </c>
      <c r="B424" s="424"/>
      <c r="C424" s="424"/>
      <c r="D424" s="424"/>
      <c r="E424" s="424"/>
      <c r="F424" s="424"/>
      <c r="G424" s="424"/>
      <c r="H424" s="424"/>
      <c r="I424" s="424"/>
      <c r="J424" s="425"/>
    </row>
    <row r="425" spans="1:10" x14ac:dyDescent="0.25">
      <c r="A425" s="426" t="s">
        <v>169</v>
      </c>
      <c r="B425" s="427"/>
      <c r="C425" s="427"/>
      <c r="D425" s="427"/>
      <c r="E425" s="427"/>
      <c r="F425" s="427"/>
      <c r="G425" s="427"/>
      <c r="H425" s="427"/>
      <c r="I425" s="427"/>
      <c r="J425" s="428"/>
    </row>
    <row r="426" spans="1:10" x14ac:dyDescent="0.25">
      <c r="A426" s="316" t="s">
        <v>187</v>
      </c>
      <c r="B426" s="429"/>
      <c r="C426" s="429"/>
      <c r="D426" s="429"/>
      <c r="E426" s="429"/>
      <c r="F426" s="429"/>
      <c r="G426" s="429"/>
      <c r="H426" s="429"/>
      <c r="I426" s="429"/>
      <c r="J426" s="430"/>
    </row>
    <row r="427" spans="1:10" x14ac:dyDescent="0.25">
      <c r="A427" s="431"/>
      <c r="B427" s="432"/>
      <c r="C427" s="432"/>
      <c r="D427" s="432"/>
      <c r="E427" s="432"/>
      <c r="F427" s="432"/>
      <c r="G427" s="432"/>
      <c r="H427" s="432"/>
      <c r="I427" s="432"/>
      <c r="J427" s="433"/>
    </row>
    <row r="428" spans="1:10" x14ac:dyDescent="0.25">
      <c r="A428" s="431"/>
      <c r="B428" s="432"/>
      <c r="C428" s="432"/>
      <c r="D428" s="432"/>
      <c r="E428" s="432"/>
      <c r="F428" s="432"/>
      <c r="G428" s="432"/>
      <c r="H428" s="432"/>
      <c r="I428" s="432"/>
      <c r="J428" s="433"/>
    </row>
    <row r="429" spans="1:10" x14ac:dyDescent="0.25">
      <c r="A429" s="431"/>
      <c r="B429" s="432"/>
      <c r="C429" s="432"/>
      <c r="D429" s="432"/>
      <c r="E429" s="432"/>
      <c r="F429" s="432"/>
      <c r="G429" s="432"/>
      <c r="H429" s="432"/>
      <c r="I429" s="432"/>
      <c r="J429" s="433"/>
    </row>
    <row r="430" spans="1:10" x14ac:dyDescent="0.25">
      <c r="A430" s="431"/>
      <c r="B430" s="432"/>
      <c r="C430" s="432"/>
      <c r="D430" s="432"/>
      <c r="E430" s="432"/>
      <c r="F430" s="432"/>
      <c r="G430" s="432"/>
      <c r="H430" s="432"/>
      <c r="I430" s="432"/>
      <c r="J430" s="433"/>
    </row>
    <row r="431" spans="1:10" x14ac:dyDescent="0.25">
      <c r="A431" s="431"/>
      <c r="B431" s="432"/>
      <c r="C431" s="432"/>
      <c r="D431" s="432"/>
      <c r="E431" s="432"/>
      <c r="F431" s="432"/>
      <c r="G431" s="432"/>
      <c r="H431" s="432"/>
      <c r="I431" s="432"/>
      <c r="J431" s="433"/>
    </row>
    <row r="432" spans="1:10" x14ac:dyDescent="0.25">
      <c r="A432" s="431"/>
      <c r="B432" s="432"/>
      <c r="C432" s="432"/>
      <c r="D432" s="432"/>
      <c r="E432" s="432"/>
      <c r="F432" s="432"/>
      <c r="G432" s="432"/>
      <c r="H432" s="432"/>
      <c r="I432" s="432"/>
      <c r="J432" s="433"/>
    </row>
    <row r="433" spans="1:10" x14ac:dyDescent="0.25">
      <c r="A433" s="431"/>
      <c r="B433" s="432"/>
      <c r="C433" s="432"/>
      <c r="D433" s="432"/>
      <c r="E433" s="432"/>
      <c r="F433" s="432"/>
      <c r="G433" s="432"/>
      <c r="H433" s="432"/>
      <c r="I433" s="432"/>
      <c r="J433" s="433"/>
    </row>
    <row r="434" spans="1:10" x14ac:dyDescent="0.25">
      <c r="A434" s="431"/>
      <c r="B434" s="432"/>
      <c r="C434" s="432"/>
      <c r="D434" s="432"/>
      <c r="E434" s="432"/>
      <c r="F434" s="432"/>
      <c r="G434" s="432"/>
      <c r="H434" s="432"/>
      <c r="I434" s="432"/>
      <c r="J434" s="433"/>
    </row>
    <row r="435" spans="1:10" x14ac:dyDescent="0.25">
      <c r="A435" s="431"/>
      <c r="B435" s="432"/>
      <c r="C435" s="432"/>
      <c r="D435" s="432"/>
      <c r="E435" s="432"/>
      <c r="F435" s="432"/>
      <c r="G435" s="432"/>
      <c r="H435" s="432"/>
      <c r="I435" s="432"/>
      <c r="J435" s="433"/>
    </row>
    <row r="436" spans="1:10" x14ac:dyDescent="0.25">
      <c r="A436" s="431"/>
      <c r="B436" s="432"/>
      <c r="C436" s="432"/>
      <c r="D436" s="432"/>
      <c r="E436" s="432"/>
      <c r="F436" s="432"/>
      <c r="G436" s="432"/>
      <c r="H436" s="432"/>
      <c r="I436" s="432"/>
      <c r="J436" s="433"/>
    </row>
    <row r="437" spans="1:10" x14ac:dyDescent="0.25">
      <c r="A437" s="431"/>
      <c r="B437" s="432"/>
      <c r="C437" s="432"/>
      <c r="D437" s="432"/>
      <c r="E437" s="432"/>
      <c r="F437" s="432"/>
      <c r="G437" s="432"/>
      <c r="H437" s="432"/>
      <c r="I437" s="432"/>
      <c r="J437" s="433"/>
    </row>
    <row r="438" spans="1:10" x14ac:dyDescent="0.25">
      <c r="A438" s="431"/>
      <c r="B438" s="432"/>
      <c r="C438" s="432"/>
      <c r="D438" s="432"/>
      <c r="E438" s="432"/>
      <c r="F438" s="432"/>
      <c r="G438" s="432"/>
      <c r="H438" s="432"/>
      <c r="I438" s="432"/>
      <c r="J438" s="433"/>
    </row>
    <row r="439" spans="1:10" x14ac:dyDescent="0.25">
      <c r="A439" s="431"/>
      <c r="B439" s="432"/>
      <c r="C439" s="432"/>
      <c r="D439" s="432"/>
      <c r="E439" s="432"/>
      <c r="F439" s="432"/>
      <c r="G439" s="432"/>
      <c r="H439" s="432"/>
      <c r="I439" s="432"/>
      <c r="J439" s="433"/>
    </row>
    <row r="440" spans="1:10" x14ac:dyDescent="0.25">
      <c r="A440" s="431"/>
      <c r="B440" s="432"/>
      <c r="C440" s="432"/>
      <c r="D440" s="432"/>
      <c r="E440" s="432"/>
      <c r="F440" s="432"/>
      <c r="G440" s="432"/>
      <c r="H440" s="432"/>
      <c r="I440" s="432"/>
      <c r="J440" s="433"/>
    </row>
    <row r="441" spans="1:10" x14ac:dyDescent="0.25">
      <c r="A441" s="431"/>
      <c r="B441" s="432"/>
      <c r="C441" s="432"/>
      <c r="D441" s="432"/>
      <c r="E441" s="432"/>
      <c r="F441" s="432"/>
      <c r="G441" s="432"/>
      <c r="H441" s="432"/>
      <c r="I441" s="432"/>
      <c r="J441" s="433"/>
    </row>
    <row r="442" spans="1:10" x14ac:dyDescent="0.25">
      <c r="A442" s="431"/>
      <c r="B442" s="432"/>
      <c r="C442" s="432"/>
      <c r="D442" s="432"/>
      <c r="E442" s="432"/>
      <c r="F442" s="432"/>
      <c r="G442" s="432"/>
      <c r="H442" s="432"/>
      <c r="I442" s="432"/>
      <c r="J442" s="433"/>
    </row>
    <row r="443" spans="1:10" x14ac:dyDescent="0.25">
      <c r="A443" s="431"/>
      <c r="B443" s="432"/>
      <c r="C443" s="432"/>
      <c r="D443" s="432"/>
      <c r="E443" s="432"/>
      <c r="F443" s="432"/>
      <c r="G443" s="432"/>
      <c r="H443" s="432"/>
      <c r="I443" s="432"/>
      <c r="J443" s="433"/>
    </row>
    <row r="444" spans="1:10" x14ac:dyDescent="0.25">
      <c r="A444" s="431"/>
      <c r="B444" s="432"/>
      <c r="C444" s="432"/>
      <c r="D444" s="432"/>
      <c r="E444" s="432"/>
      <c r="F444" s="432"/>
      <c r="G444" s="432"/>
      <c r="H444" s="432"/>
      <c r="I444" s="432"/>
      <c r="J444" s="433"/>
    </row>
    <row r="445" spans="1:10" x14ac:dyDescent="0.25">
      <c r="A445" s="431"/>
      <c r="B445" s="432"/>
      <c r="C445" s="432"/>
      <c r="D445" s="432"/>
      <c r="E445" s="432"/>
      <c r="F445" s="432"/>
      <c r="G445" s="432"/>
      <c r="H445" s="432"/>
      <c r="I445" s="432"/>
      <c r="J445" s="433"/>
    </row>
    <row r="446" spans="1:10" x14ac:dyDescent="0.25">
      <c r="A446" s="431"/>
      <c r="B446" s="432"/>
      <c r="C446" s="432"/>
      <c r="D446" s="432"/>
      <c r="E446" s="432"/>
      <c r="F446" s="432"/>
      <c r="G446" s="432"/>
      <c r="H446" s="432"/>
      <c r="I446" s="432"/>
      <c r="J446" s="433"/>
    </row>
    <row r="447" spans="1:10" x14ac:dyDescent="0.25">
      <c r="A447" s="431"/>
      <c r="B447" s="432"/>
      <c r="C447" s="432"/>
      <c r="D447" s="432"/>
      <c r="E447" s="432"/>
      <c r="F447" s="432"/>
      <c r="G447" s="432"/>
      <c r="H447" s="432"/>
      <c r="I447" s="432"/>
      <c r="J447" s="433"/>
    </row>
    <row r="448" spans="1:10" x14ac:dyDescent="0.25">
      <c r="A448" s="431"/>
      <c r="B448" s="432"/>
      <c r="C448" s="432"/>
      <c r="D448" s="432"/>
      <c r="E448" s="432"/>
      <c r="F448" s="432"/>
      <c r="G448" s="432"/>
      <c r="H448" s="432"/>
      <c r="I448" s="432"/>
      <c r="J448" s="433"/>
    </row>
    <row r="449" spans="1:10" x14ac:dyDescent="0.25">
      <c r="A449" s="431"/>
      <c r="B449" s="432"/>
      <c r="C449" s="432"/>
      <c r="D449" s="432"/>
      <c r="E449" s="432"/>
      <c r="F449" s="432"/>
      <c r="G449" s="432"/>
      <c r="H449" s="432"/>
      <c r="I449" s="432"/>
      <c r="J449" s="433"/>
    </row>
    <row r="450" spans="1:10" x14ac:dyDescent="0.25">
      <c r="A450" s="431"/>
      <c r="B450" s="432"/>
      <c r="C450" s="432"/>
      <c r="D450" s="432"/>
      <c r="E450" s="432"/>
      <c r="F450" s="432"/>
      <c r="G450" s="432"/>
      <c r="H450" s="432"/>
      <c r="I450" s="432"/>
      <c r="J450" s="433"/>
    </row>
    <row r="451" spans="1:10" x14ac:dyDescent="0.25">
      <c r="A451" s="431"/>
      <c r="B451" s="432"/>
      <c r="C451" s="432"/>
      <c r="D451" s="432"/>
      <c r="E451" s="432"/>
      <c r="F451" s="432"/>
      <c r="G451" s="432"/>
      <c r="H451" s="432"/>
      <c r="I451" s="432"/>
      <c r="J451" s="433"/>
    </row>
    <row r="452" spans="1:10" x14ac:dyDescent="0.25">
      <c r="A452" s="431"/>
      <c r="B452" s="432"/>
      <c r="C452" s="432"/>
      <c r="D452" s="432"/>
      <c r="E452" s="432"/>
      <c r="F452" s="432"/>
      <c r="G452" s="432"/>
      <c r="H452" s="432"/>
      <c r="I452" s="432"/>
      <c r="J452" s="433"/>
    </row>
    <row r="453" spans="1:10" x14ac:dyDescent="0.25">
      <c r="A453" s="431"/>
      <c r="B453" s="432"/>
      <c r="C453" s="432"/>
      <c r="D453" s="432"/>
      <c r="E453" s="432"/>
      <c r="F453" s="432"/>
      <c r="G453" s="432"/>
      <c r="H453" s="432"/>
      <c r="I453" s="432"/>
      <c r="J453" s="433"/>
    </row>
    <row r="454" spans="1:10" x14ac:dyDescent="0.25">
      <c r="A454" s="431"/>
      <c r="B454" s="432"/>
      <c r="C454" s="432"/>
      <c r="D454" s="432"/>
      <c r="E454" s="432"/>
      <c r="F454" s="432"/>
      <c r="G454" s="432"/>
      <c r="H454" s="432"/>
      <c r="I454" s="432"/>
      <c r="J454" s="433"/>
    </row>
    <row r="455" spans="1:10" x14ac:dyDescent="0.25">
      <c r="A455" s="431"/>
      <c r="B455" s="432"/>
      <c r="C455" s="432"/>
      <c r="D455" s="432"/>
      <c r="E455" s="432"/>
      <c r="F455" s="432"/>
      <c r="G455" s="432"/>
      <c r="H455" s="432"/>
      <c r="I455" s="432"/>
      <c r="J455" s="433"/>
    </row>
    <row r="456" spans="1:10" x14ac:dyDescent="0.25">
      <c r="A456" s="431"/>
      <c r="B456" s="432"/>
      <c r="C456" s="432"/>
      <c r="D456" s="432"/>
      <c r="E456" s="432"/>
      <c r="F456" s="432"/>
      <c r="G456" s="432"/>
      <c r="H456" s="432"/>
      <c r="I456" s="432"/>
      <c r="J456" s="433"/>
    </row>
    <row r="457" spans="1:10" x14ac:dyDescent="0.25">
      <c r="A457" s="431"/>
      <c r="B457" s="432"/>
      <c r="C457" s="432"/>
      <c r="D457" s="432"/>
      <c r="E457" s="432"/>
      <c r="F457" s="432"/>
      <c r="G457" s="432"/>
      <c r="H457" s="432"/>
      <c r="I457" s="432"/>
      <c r="J457" s="433"/>
    </row>
    <row r="458" spans="1:10" x14ac:dyDescent="0.25">
      <c r="A458" s="431"/>
      <c r="B458" s="432"/>
      <c r="C458" s="432"/>
      <c r="D458" s="432"/>
      <c r="E458" s="432"/>
      <c r="F458" s="432"/>
      <c r="G458" s="432"/>
      <c r="H458" s="432"/>
      <c r="I458" s="432"/>
      <c r="J458" s="433"/>
    </row>
    <row r="459" spans="1:10" x14ac:dyDescent="0.25">
      <c r="A459" s="431"/>
      <c r="B459" s="432"/>
      <c r="C459" s="432"/>
      <c r="D459" s="432"/>
      <c r="E459" s="432"/>
      <c r="F459" s="432"/>
      <c r="G459" s="432"/>
      <c r="H459" s="432"/>
      <c r="I459" s="432"/>
      <c r="J459" s="433"/>
    </row>
    <row r="460" spans="1:10" x14ac:dyDescent="0.25">
      <c r="A460" s="434"/>
      <c r="B460" s="435"/>
      <c r="C460" s="435"/>
      <c r="D460" s="435"/>
      <c r="E460" s="435"/>
      <c r="F460" s="435"/>
      <c r="G460" s="435"/>
      <c r="H460" s="435"/>
      <c r="I460" s="435"/>
      <c r="J460" s="436"/>
    </row>
    <row r="462" spans="1:10" ht="15.6" x14ac:dyDescent="0.3">
      <c r="A462" s="372" t="s">
        <v>76</v>
      </c>
      <c r="B462" s="373"/>
      <c r="C462" s="373"/>
      <c r="D462" s="373"/>
      <c r="E462" s="373"/>
      <c r="F462" s="373"/>
      <c r="G462" s="373"/>
      <c r="H462" s="370" t="str">
        <f>'CONTACT INFORMATION'!$A$24</f>
        <v>Ventura</v>
      </c>
      <c r="I462" s="370"/>
      <c r="J462" s="371"/>
    </row>
    <row r="463" spans="1:10" ht="8.1" customHeight="1" x14ac:dyDescent="0.25">
      <c r="A463" s="152"/>
      <c r="B463" s="152"/>
      <c r="C463" s="152"/>
      <c r="D463" s="152"/>
      <c r="E463" s="152"/>
      <c r="F463" s="152"/>
      <c r="G463" s="152"/>
      <c r="H463" s="152"/>
      <c r="I463" s="152"/>
      <c r="J463" s="152"/>
    </row>
    <row r="464" spans="1:10" ht="13.8" x14ac:dyDescent="0.25">
      <c r="A464" s="460" t="s">
        <v>188</v>
      </c>
      <c r="B464" s="461"/>
      <c r="C464" s="461"/>
      <c r="D464" s="461"/>
      <c r="E464" s="461"/>
      <c r="F464" s="461"/>
      <c r="G464" s="461"/>
      <c r="H464" s="461"/>
      <c r="I464" s="461"/>
      <c r="J464" s="462"/>
    </row>
    <row r="465" spans="1:10" x14ac:dyDescent="0.25">
      <c r="A465" s="463" t="s">
        <v>151</v>
      </c>
      <c r="B465" s="464"/>
      <c r="C465" s="464"/>
      <c r="D465" s="465"/>
      <c r="E465" s="488" t="s">
        <v>189</v>
      </c>
      <c r="F465" s="489"/>
      <c r="G465" s="489"/>
      <c r="H465" s="489"/>
      <c r="I465" s="489"/>
      <c r="J465" s="490"/>
    </row>
    <row r="466" spans="1:10" x14ac:dyDescent="0.25">
      <c r="A466" s="472" t="s">
        <v>181</v>
      </c>
      <c r="B466" s="473"/>
      <c r="C466" s="473"/>
      <c r="D466" s="474"/>
      <c r="E466" s="491"/>
      <c r="F466" s="492"/>
      <c r="G466" s="492"/>
      <c r="H466" s="492"/>
      <c r="I466" s="492"/>
      <c r="J466" s="493"/>
    </row>
    <row r="467" spans="1:10" x14ac:dyDescent="0.25">
      <c r="A467" s="475" t="s">
        <v>182</v>
      </c>
      <c r="B467" s="476"/>
      <c r="C467" s="476"/>
      <c r="D467" s="477"/>
      <c r="E467" s="485" t="s">
        <v>83</v>
      </c>
      <c r="F467" s="486"/>
      <c r="G467" s="486"/>
      <c r="H467" s="486"/>
      <c r="I467" s="486"/>
      <c r="J467" s="487"/>
    </row>
    <row r="468" spans="1:10" ht="27" customHeight="1" x14ac:dyDescent="0.25">
      <c r="A468" s="146"/>
      <c r="B468" s="220"/>
      <c r="C468" s="220"/>
      <c r="D468" s="220"/>
      <c r="E468" s="481" t="s">
        <v>155</v>
      </c>
      <c r="F468" s="482"/>
      <c r="G468" s="481" t="s">
        <v>156</v>
      </c>
      <c r="H468" s="482"/>
      <c r="I468" s="483" t="s">
        <v>157</v>
      </c>
      <c r="J468" s="484"/>
    </row>
    <row r="469" spans="1:10" x14ac:dyDescent="0.25">
      <c r="A469" s="449" t="s">
        <v>158</v>
      </c>
      <c r="B469" s="450"/>
      <c r="C469" s="450"/>
      <c r="D469" s="451"/>
      <c r="E469" s="458"/>
      <c r="F469" s="458"/>
      <c r="G469" s="458">
        <v>1690781</v>
      </c>
      <c r="H469" s="458"/>
      <c r="I469" s="459"/>
      <c r="J469" s="459"/>
    </row>
    <row r="470" spans="1:10" x14ac:dyDescent="0.25">
      <c r="A470" s="454" t="s">
        <v>159</v>
      </c>
      <c r="B470" s="455"/>
      <c r="C470" s="455"/>
      <c r="D470" s="456"/>
      <c r="E470" s="440"/>
      <c r="F470" s="440"/>
      <c r="G470" s="441">
        <v>277408</v>
      </c>
      <c r="H470" s="441"/>
      <c r="I470" s="457"/>
      <c r="J470" s="457"/>
    </row>
    <row r="471" spans="1:10" x14ac:dyDescent="0.25">
      <c r="A471" s="449" t="s">
        <v>160</v>
      </c>
      <c r="B471" s="450"/>
      <c r="C471" s="450"/>
      <c r="D471" s="451"/>
      <c r="E471" s="458"/>
      <c r="F471" s="458"/>
      <c r="G471" s="458">
        <v>41966</v>
      </c>
      <c r="H471" s="458"/>
      <c r="I471" s="459"/>
      <c r="J471" s="459"/>
    </row>
    <row r="472" spans="1:10" x14ac:dyDescent="0.25">
      <c r="A472" s="454" t="s">
        <v>161</v>
      </c>
      <c r="B472" s="455"/>
      <c r="C472" s="455"/>
      <c r="D472" s="456"/>
      <c r="E472" s="440"/>
      <c r="F472" s="440"/>
      <c r="G472" s="441"/>
      <c r="H472" s="441"/>
      <c r="I472" s="457"/>
      <c r="J472" s="457"/>
    </row>
    <row r="473" spans="1:10" x14ac:dyDescent="0.25">
      <c r="A473" s="449" t="s">
        <v>162</v>
      </c>
      <c r="B473" s="450"/>
      <c r="C473" s="450"/>
      <c r="D473" s="451"/>
      <c r="E473" s="458"/>
      <c r="F473" s="458"/>
      <c r="G473" s="458"/>
      <c r="H473" s="458"/>
      <c r="I473" s="459"/>
      <c r="J473" s="459"/>
    </row>
    <row r="474" spans="1:10" x14ac:dyDescent="0.25">
      <c r="A474" s="454" t="s">
        <v>163</v>
      </c>
      <c r="B474" s="455"/>
      <c r="C474" s="455"/>
      <c r="D474" s="456"/>
      <c r="E474" s="440"/>
      <c r="F474" s="440"/>
      <c r="G474" s="441">
        <v>201016</v>
      </c>
      <c r="H474" s="441"/>
      <c r="I474" s="457"/>
      <c r="J474" s="457"/>
    </row>
    <row r="475" spans="1:10" x14ac:dyDescent="0.25">
      <c r="A475" s="449" t="s">
        <v>164</v>
      </c>
      <c r="B475" s="450"/>
      <c r="C475" s="450"/>
      <c r="D475" s="451"/>
      <c r="E475" s="452"/>
      <c r="F475" s="452"/>
      <c r="G475" s="452"/>
      <c r="H475" s="452"/>
      <c r="I475" s="453"/>
      <c r="J475" s="453"/>
    </row>
    <row r="476" spans="1:10" x14ac:dyDescent="0.25">
      <c r="A476" s="437"/>
      <c r="B476" s="438"/>
      <c r="C476" s="438"/>
      <c r="D476" s="439"/>
      <c r="E476" s="440"/>
      <c r="F476" s="440"/>
      <c r="G476" s="441"/>
      <c r="H476" s="441"/>
      <c r="I476" s="441"/>
      <c r="J476" s="441"/>
    </row>
    <row r="477" spans="1:10" x14ac:dyDescent="0.25">
      <c r="A477" s="437"/>
      <c r="B477" s="438"/>
      <c r="C477" s="438"/>
      <c r="D477" s="439"/>
      <c r="E477" s="440"/>
      <c r="F477" s="440"/>
      <c r="G477" s="441"/>
      <c r="H477" s="441"/>
      <c r="I477" s="441"/>
      <c r="J477" s="441"/>
    </row>
    <row r="478" spans="1:10" x14ac:dyDescent="0.25">
      <c r="A478" s="437"/>
      <c r="B478" s="438"/>
      <c r="C478" s="438"/>
      <c r="D478" s="439"/>
      <c r="E478" s="440"/>
      <c r="F478" s="440"/>
      <c r="G478" s="441"/>
      <c r="H478" s="441"/>
      <c r="I478" s="441"/>
      <c r="J478" s="441"/>
    </row>
    <row r="479" spans="1:10" x14ac:dyDescent="0.25">
      <c r="A479" s="442" t="s">
        <v>165</v>
      </c>
      <c r="B479" s="443"/>
      <c r="C479" s="443"/>
      <c r="D479" s="444"/>
      <c r="E479" s="445">
        <f>SUM(E469:E478)</f>
        <v>0</v>
      </c>
      <c r="F479" s="445"/>
      <c r="G479" s="445">
        <f>SUM(G469:G478)</f>
        <v>2211171</v>
      </c>
      <c r="H479" s="445"/>
      <c r="I479" s="445">
        <f>SUM(I469:I478)</f>
        <v>0</v>
      </c>
      <c r="J479" s="445"/>
    </row>
    <row r="480" spans="1:10" x14ac:dyDescent="0.25">
      <c r="A480" s="446" t="s">
        <v>166</v>
      </c>
      <c r="B480" s="447"/>
      <c r="C480" s="447"/>
      <c r="D480" s="447"/>
      <c r="E480" s="447"/>
      <c r="F480" s="447"/>
      <c r="G480" s="447"/>
      <c r="H480" s="447"/>
      <c r="I480" s="447"/>
      <c r="J480" s="448"/>
    </row>
    <row r="481" spans="1:10" x14ac:dyDescent="0.25">
      <c r="A481" s="423" t="s">
        <v>167</v>
      </c>
      <c r="B481" s="424"/>
      <c r="C481" s="424"/>
      <c r="D481" s="424"/>
      <c r="E481" s="424"/>
      <c r="F481" s="424"/>
      <c r="G481" s="424"/>
      <c r="H481" s="424"/>
      <c r="I481" s="424"/>
      <c r="J481" s="425"/>
    </row>
    <row r="482" spans="1:10" x14ac:dyDescent="0.25">
      <c r="A482" s="423" t="s">
        <v>168</v>
      </c>
      <c r="B482" s="424"/>
      <c r="C482" s="424"/>
      <c r="D482" s="424"/>
      <c r="E482" s="424"/>
      <c r="F482" s="424"/>
      <c r="G482" s="424"/>
      <c r="H482" s="424"/>
      <c r="I482" s="424"/>
      <c r="J482" s="425"/>
    </row>
    <row r="483" spans="1:10" x14ac:dyDescent="0.25">
      <c r="A483" s="426" t="s">
        <v>169</v>
      </c>
      <c r="B483" s="427"/>
      <c r="C483" s="427"/>
      <c r="D483" s="427"/>
      <c r="E483" s="427"/>
      <c r="F483" s="427"/>
      <c r="G483" s="427"/>
      <c r="H483" s="427"/>
      <c r="I483" s="427"/>
      <c r="J483" s="428"/>
    </row>
    <row r="484" spans="1:10" x14ac:dyDescent="0.25">
      <c r="A484" s="316" t="s">
        <v>954</v>
      </c>
      <c r="B484" s="429"/>
      <c r="C484" s="429"/>
      <c r="D484" s="429"/>
      <c r="E484" s="429"/>
      <c r="F484" s="429"/>
      <c r="G484" s="429"/>
      <c r="H484" s="429"/>
      <c r="I484" s="429"/>
      <c r="J484" s="430"/>
    </row>
    <row r="485" spans="1:10" x14ac:dyDescent="0.25">
      <c r="A485" s="431"/>
      <c r="B485" s="432"/>
      <c r="C485" s="432"/>
      <c r="D485" s="432"/>
      <c r="E485" s="432"/>
      <c r="F485" s="432"/>
      <c r="G485" s="432"/>
      <c r="H485" s="432"/>
      <c r="I485" s="432"/>
      <c r="J485" s="433"/>
    </row>
    <row r="486" spans="1:10" x14ac:dyDescent="0.25">
      <c r="A486" s="431"/>
      <c r="B486" s="432"/>
      <c r="C486" s="432"/>
      <c r="D486" s="432"/>
      <c r="E486" s="432"/>
      <c r="F486" s="432"/>
      <c r="G486" s="432"/>
      <c r="H486" s="432"/>
      <c r="I486" s="432"/>
      <c r="J486" s="433"/>
    </row>
    <row r="487" spans="1:10" x14ac:dyDescent="0.25">
      <c r="A487" s="431"/>
      <c r="B487" s="432"/>
      <c r="C487" s="432"/>
      <c r="D487" s="432"/>
      <c r="E487" s="432"/>
      <c r="F487" s="432"/>
      <c r="G487" s="432"/>
      <c r="H487" s="432"/>
      <c r="I487" s="432"/>
      <c r="J487" s="433"/>
    </row>
    <row r="488" spans="1:10" x14ac:dyDescent="0.25">
      <c r="A488" s="431"/>
      <c r="B488" s="432"/>
      <c r="C488" s="432"/>
      <c r="D488" s="432"/>
      <c r="E488" s="432"/>
      <c r="F488" s="432"/>
      <c r="G488" s="432"/>
      <c r="H488" s="432"/>
      <c r="I488" s="432"/>
      <c r="J488" s="433"/>
    </row>
    <row r="489" spans="1:10" x14ac:dyDescent="0.25">
      <c r="A489" s="431"/>
      <c r="B489" s="432"/>
      <c r="C489" s="432"/>
      <c r="D489" s="432"/>
      <c r="E489" s="432"/>
      <c r="F489" s="432"/>
      <c r="G489" s="432"/>
      <c r="H489" s="432"/>
      <c r="I489" s="432"/>
      <c r="J489" s="433"/>
    </row>
    <row r="490" spans="1:10" x14ac:dyDescent="0.25">
      <c r="A490" s="431"/>
      <c r="B490" s="432"/>
      <c r="C490" s="432"/>
      <c r="D490" s="432"/>
      <c r="E490" s="432"/>
      <c r="F490" s="432"/>
      <c r="G490" s="432"/>
      <c r="H490" s="432"/>
      <c r="I490" s="432"/>
      <c r="J490" s="433"/>
    </row>
    <row r="491" spans="1:10" x14ac:dyDescent="0.25">
      <c r="A491" s="431"/>
      <c r="B491" s="432"/>
      <c r="C491" s="432"/>
      <c r="D491" s="432"/>
      <c r="E491" s="432"/>
      <c r="F491" s="432"/>
      <c r="G491" s="432"/>
      <c r="H491" s="432"/>
      <c r="I491" s="432"/>
      <c r="J491" s="433"/>
    </row>
    <row r="492" spans="1:10" x14ac:dyDescent="0.25">
      <c r="A492" s="431"/>
      <c r="B492" s="432"/>
      <c r="C492" s="432"/>
      <c r="D492" s="432"/>
      <c r="E492" s="432"/>
      <c r="F492" s="432"/>
      <c r="G492" s="432"/>
      <c r="H492" s="432"/>
      <c r="I492" s="432"/>
      <c r="J492" s="433"/>
    </row>
    <row r="493" spans="1:10" x14ac:dyDescent="0.25">
      <c r="A493" s="431"/>
      <c r="B493" s="432"/>
      <c r="C493" s="432"/>
      <c r="D493" s="432"/>
      <c r="E493" s="432"/>
      <c r="F493" s="432"/>
      <c r="G493" s="432"/>
      <c r="H493" s="432"/>
      <c r="I493" s="432"/>
      <c r="J493" s="433"/>
    </row>
    <row r="494" spans="1:10" x14ac:dyDescent="0.25">
      <c r="A494" s="431"/>
      <c r="B494" s="432"/>
      <c r="C494" s="432"/>
      <c r="D494" s="432"/>
      <c r="E494" s="432"/>
      <c r="F494" s="432"/>
      <c r="G494" s="432"/>
      <c r="H494" s="432"/>
      <c r="I494" s="432"/>
      <c r="J494" s="433"/>
    </row>
    <row r="495" spans="1:10" x14ac:dyDescent="0.25">
      <c r="A495" s="431"/>
      <c r="B495" s="432"/>
      <c r="C495" s="432"/>
      <c r="D495" s="432"/>
      <c r="E495" s="432"/>
      <c r="F495" s="432"/>
      <c r="G495" s="432"/>
      <c r="H495" s="432"/>
      <c r="I495" s="432"/>
      <c r="J495" s="433"/>
    </row>
    <row r="496" spans="1:10" x14ac:dyDescent="0.25">
      <c r="A496" s="431"/>
      <c r="B496" s="432"/>
      <c r="C496" s="432"/>
      <c r="D496" s="432"/>
      <c r="E496" s="432"/>
      <c r="F496" s="432"/>
      <c r="G496" s="432"/>
      <c r="H496" s="432"/>
      <c r="I496" s="432"/>
      <c r="J496" s="433"/>
    </row>
    <row r="497" spans="1:10" x14ac:dyDescent="0.25">
      <c r="A497" s="431"/>
      <c r="B497" s="432"/>
      <c r="C497" s="432"/>
      <c r="D497" s="432"/>
      <c r="E497" s="432"/>
      <c r="F497" s="432"/>
      <c r="G497" s="432"/>
      <c r="H497" s="432"/>
      <c r="I497" s="432"/>
      <c r="J497" s="433"/>
    </row>
    <row r="498" spans="1:10" x14ac:dyDescent="0.25">
      <c r="A498" s="431"/>
      <c r="B498" s="432"/>
      <c r="C498" s="432"/>
      <c r="D498" s="432"/>
      <c r="E498" s="432"/>
      <c r="F498" s="432"/>
      <c r="G498" s="432"/>
      <c r="H498" s="432"/>
      <c r="I498" s="432"/>
      <c r="J498" s="433"/>
    </row>
    <row r="499" spans="1:10" x14ac:dyDescent="0.25">
      <c r="A499" s="431"/>
      <c r="B499" s="432"/>
      <c r="C499" s="432"/>
      <c r="D499" s="432"/>
      <c r="E499" s="432"/>
      <c r="F499" s="432"/>
      <c r="G499" s="432"/>
      <c r="H499" s="432"/>
      <c r="I499" s="432"/>
      <c r="J499" s="433"/>
    </row>
    <row r="500" spans="1:10" x14ac:dyDescent="0.25">
      <c r="A500" s="431"/>
      <c r="B500" s="432"/>
      <c r="C500" s="432"/>
      <c r="D500" s="432"/>
      <c r="E500" s="432"/>
      <c r="F500" s="432"/>
      <c r="G500" s="432"/>
      <c r="H500" s="432"/>
      <c r="I500" s="432"/>
      <c r="J500" s="433"/>
    </row>
    <row r="501" spans="1:10" x14ac:dyDescent="0.25">
      <c r="A501" s="431"/>
      <c r="B501" s="432"/>
      <c r="C501" s="432"/>
      <c r="D501" s="432"/>
      <c r="E501" s="432"/>
      <c r="F501" s="432"/>
      <c r="G501" s="432"/>
      <c r="H501" s="432"/>
      <c r="I501" s="432"/>
      <c r="J501" s="433"/>
    </row>
    <row r="502" spans="1:10" x14ac:dyDescent="0.25">
      <c r="A502" s="431"/>
      <c r="B502" s="432"/>
      <c r="C502" s="432"/>
      <c r="D502" s="432"/>
      <c r="E502" s="432"/>
      <c r="F502" s="432"/>
      <c r="G502" s="432"/>
      <c r="H502" s="432"/>
      <c r="I502" s="432"/>
      <c r="J502" s="433"/>
    </row>
    <row r="503" spans="1:10" x14ac:dyDescent="0.25">
      <c r="A503" s="431"/>
      <c r="B503" s="432"/>
      <c r="C503" s="432"/>
      <c r="D503" s="432"/>
      <c r="E503" s="432"/>
      <c r="F503" s="432"/>
      <c r="G503" s="432"/>
      <c r="H503" s="432"/>
      <c r="I503" s="432"/>
      <c r="J503" s="433"/>
    </row>
    <row r="504" spans="1:10" x14ac:dyDescent="0.25">
      <c r="A504" s="431"/>
      <c r="B504" s="432"/>
      <c r="C504" s="432"/>
      <c r="D504" s="432"/>
      <c r="E504" s="432"/>
      <c r="F504" s="432"/>
      <c r="G504" s="432"/>
      <c r="H504" s="432"/>
      <c r="I504" s="432"/>
      <c r="J504" s="433"/>
    </row>
    <row r="505" spans="1:10" x14ac:dyDescent="0.25">
      <c r="A505" s="431"/>
      <c r="B505" s="432"/>
      <c r="C505" s="432"/>
      <c r="D505" s="432"/>
      <c r="E505" s="432"/>
      <c r="F505" s="432"/>
      <c r="G505" s="432"/>
      <c r="H505" s="432"/>
      <c r="I505" s="432"/>
      <c r="J505" s="433"/>
    </row>
    <row r="506" spans="1:10" x14ac:dyDescent="0.25">
      <c r="A506" s="431"/>
      <c r="B506" s="432"/>
      <c r="C506" s="432"/>
      <c r="D506" s="432"/>
      <c r="E506" s="432"/>
      <c r="F506" s="432"/>
      <c r="G506" s="432"/>
      <c r="H506" s="432"/>
      <c r="I506" s="432"/>
      <c r="J506" s="433"/>
    </row>
    <row r="507" spans="1:10" x14ac:dyDescent="0.25">
      <c r="A507" s="431"/>
      <c r="B507" s="432"/>
      <c r="C507" s="432"/>
      <c r="D507" s="432"/>
      <c r="E507" s="432"/>
      <c r="F507" s="432"/>
      <c r="G507" s="432"/>
      <c r="H507" s="432"/>
      <c r="I507" s="432"/>
      <c r="J507" s="433"/>
    </row>
    <row r="508" spans="1:10" x14ac:dyDescent="0.25">
      <c r="A508" s="431"/>
      <c r="B508" s="432"/>
      <c r="C508" s="432"/>
      <c r="D508" s="432"/>
      <c r="E508" s="432"/>
      <c r="F508" s="432"/>
      <c r="G508" s="432"/>
      <c r="H508" s="432"/>
      <c r="I508" s="432"/>
      <c r="J508" s="433"/>
    </row>
    <row r="509" spans="1:10" x14ac:dyDescent="0.25">
      <c r="A509" s="431"/>
      <c r="B509" s="432"/>
      <c r="C509" s="432"/>
      <c r="D509" s="432"/>
      <c r="E509" s="432"/>
      <c r="F509" s="432"/>
      <c r="G509" s="432"/>
      <c r="H509" s="432"/>
      <c r="I509" s="432"/>
      <c r="J509" s="433"/>
    </row>
    <row r="510" spans="1:10" x14ac:dyDescent="0.25">
      <c r="A510" s="431"/>
      <c r="B510" s="432"/>
      <c r="C510" s="432"/>
      <c r="D510" s="432"/>
      <c r="E510" s="432"/>
      <c r="F510" s="432"/>
      <c r="G510" s="432"/>
      <c r="H510" s="432"/>
      <c r="I510" s="432"/>
      <c r="J510" s="433"/>
    </row>
    <row r="511" spans="1:10" x14ac:dyDescent="0.25">
      <c r="A511" s="431"/>
      <c r="B511" s="432"/>
      <c r="C511" s="432"/>
      <c r="D511" s="432"/>
      <c r="E511" s="432"/>
      <c r="F511" s="432"/>
      <c r="G511" s="432"/>
      <c r="H511" s="432"/>
      <c r="I511" s="432"/>
      <c r="J511" s="433"/>
    </row>
    <row r="512" spans="1:10" x14ac:dyDescent="0.25">
      <c r="A512" s="431"/>
      <c r="B512" s="432"/>
      <c r="C512" s="432"/>
      <c r="D512" s="432"/>
      <c r="E512" s="432"/>
      <c r="F512" s="432"/>
      <c r="G512" s="432"/>
      <c r="H512" s="432"/>
      <c r="I512" s="432"/>
      <c r="J512" s="433"/>
    </row>
    <row r="513" spans="1:10" x14ac:dyDescent="0.25">
      <c r="A513" s="431"/>
      <c r="B513" s="432"/>
      <c r="C513" s="432"/>
      <c r="D513" s="432"/>
      <c r="E513" s="432"/>
      <c r="F513" s="432"/>
      <c r="G513" s="432"/>
      <c r="H513" s="432"/>
      <c r="I513" s="432"/>
      <c r="J513" s="433"/>
    </row>
    <row r="514" spans="1:10" x14ac:dyDescent="0.25">
      <c r="A514" s="431"/>
      <c r="B514" s="432"/>
      <c r="C514" s="432"/>
      <c r="D514" s="432"/>
      <c r="E514" s="432"/>
      <c r="F514" s="432"/>
      <c r="G514" s="432"/>
      <c r="H514" s="432"/>
      <c r="I514" s="432"/>
      <c r="J514" s="433"/>
    </row>
    <row r="515" spans="1:10" x14ac:dyDescent="0.25">
      <c r="A515" s="431"/>
      <c r="B515" s="432"/>
      <c r="C515" s="432"/>
      <c r="D515" s="432"/>
      <c r="E515" s="432"/>
      <c r="F515" s="432"/>
      <c r="G515" s="432"/>
      <c r="H515" s="432"/>
      <c r="I515" s="432"/>
      <c r="J515" s="433"/>
    </row>
    <row r="516" spans="1:10" x14ac:dyDescent="0.25">
      <c r="A516" s="431"/>
      <c r="B516" s="432"/>
      <c r="C516" s="432"/>
      <c r="D516" s="432"/>
      <c r="E516" s="432"/>
      <c r="F516" s="432"/>
      <c r="G516" s="432"/>
      <c r="H516" s="432"/>
      <c r="I516" s="432"/>
      <c r="J516" s="433"/>
    </row>
    <row r="517" spans="1:10" x14ac:dyDescent="0.25">
      <c r="A517" s="431"/>
      <c r="B517" s="432"/>
      <c r="C517" s="432"/>
      <c r="D517" s="432"/>
      <c r="E517" s="432"/>
      <c r="F517" s="432"/>
      <c r="G517" s="432"/>
      <c r="H517" s="432"/>
      <c r="I517" s="432"/>
      <c r="J517" s="433"/>
    </row>
    <row r="518" spans="1:10" x14ac:dyDescent="0.25">
      <c r="A518" s="434"/>
      <c r="B518" s="435"/>
      <c r="C518" s="435"/>
      <c r="D518" s="435"/>
      <c r="E518" s="435"/>
      <c r="F518" s="435"/>
      <c r="G518" s="435"/>
      <c r="H518" s="435"/>
      <c r="I518" s="435"/>
      <c r="J518" s="436"/>
    </row>
    <row r="521" spans="1:10" ht="15" customHeight="1" x14ac:dyDescent="0.3">
      <c r="A521" s="372" t="s">
        <v>76</v>
      </c>
      <c r="B521" s="373"/>
      <c r="C521" s="373"/>
      <c r="D521" s="373"/>
      <c r="E521" s="373"/>
      <c r="F521" s="373"/>
      <c r="G521" s="373"/>
      <c r="H521" s="370" t="str">
        <f>'CONTACT INFORMATION'!$A$24</f>
        <v>Ventura</v>
      </c>
      <c r="I521" s="370"/>
      <c r="J521" s="371"/>
    </row>
    <row r="522" spans="1:10" x14ac:dyDescent="0.25">
      <c r="A522" s="152"/>
      <c r="B522" s="152"/>
      <c r="C522" s="152"/>
      <c r="D522" s="152"/>
      <c r="E522" s="152"/>
      <c r="F522" s="152"/>
      <c r="G522" s="152"/>
      <c r="H522" s="152"/>
      <c r="I522" s="152"/>
      <c r="J522" s="152"/>
    </row>
    <row r="523" spans="1:10" ht="12.75" customHeight="1" x14ac:dyDescent="0.25">
      <c r="A523" s="460" t="s">
        <v>190</v>
      </c>
      <c r="B523" s="461"/>
      <c r="C523" s="461"/>
      <c r="D523" s="461"/>
      <c r="E523" s="461"/>
      <c r="F523" s="461"/>
      <c r="G523" s="461"/>
      <c r="H523" s="461"/>
      <c r="I523" s="461"/>
      <c r="J523" s="462"/>
    </row>
    <row r="524" spans="1:10" ht="12.75" customHeight="1" x14ac:dyDescent="0.25">
      <c r="A524" s="463" t="s">
        <v>151</v>
      </c>
      <c r="B524" s="464"/>
      <c r="C524" s="464"/>
      <c r="D524" s="465"/>
      <c r="E524" s="488" t="s">
        <v>191</v>
      </c>
      <c r="F524" s="503"/>
      <c r="G524" s="503"/>
      <c r="H524" s="503"/>
      <c r="I524" s="503"/>
      <c r="J524" s="504"/>
    </row>
    <row r="525" spans="1:10" x14ac:dyDescent="0.25">
      <c r="A525" s="472" t="s">
        <v>181</v>
      </c>
      <c r="B525" s="473"/>
      <c r="C525" s="473"/>
      <c r="D525" s="474"/>
      <c r="E525" s="505"/>
      <c r="F525" s="506"/>
      <c r="G525" s="506"/>
      <c r="H525" s="506"/>
      <c r="I525" s="506"/>
      <c r="J525" s="507"/>
    </row>
    <row r="526" spans="1:10" ht="27" customHeight="1" x14ac:dyDescent="0.25">
      <c r="A526" s="475" t="s">
        <v>182</v>
      </c>
      <c r="B526" s="476"/>
      <c r="C526" s="476"/>
      <c r="D526" s="477"/>
      <c r="E526" s="485" t="s">
        <v>96</v>
      </c>
      <c r="F526" s="486"/>
      <c r="G526" s="486"/>
      <c r="H526" s="486"/>
      <c r="I526" s="486"/>
      <c r="J526" s="487"/>
    </row>
    <row r="527" spans="1:10" x14ac:dyDescent="0.25">
      <c r="A527" s="146"/>
      <c r="B527" s="220"/>
      <c r="C527" s="220"/>
      <c r="D527" s="220"/>
      <c r="E527" s="481" t="s">
        <v>155</v>
      </c>
      <c r="F527" s="482"/>
      <c r="G527" s="481" t="s">
        <v>156</v>
      </c>
      <c r="H527" s="482"/>
      <c r="I527" s="483" t="s">
        <v>157</v>
      </c>
      <c r="J527" s="484"/>
    </row>
    <row r="528" spans="1:10" x14ac:dyDescent="0.25">
      <c r="A528" s="449" t="s">
        <v>158</v>
      </c>
      <c r="B528" s="450"/>
      <c r="C528" s="450"/>
      <c r="D528" s="451"/>
      <c r="E528" s="458"/>
      <c r="F528" s="458"/>
      <c r="G528" s="458">
        <v>11952</v>
      </c>
      <c r="H528" s="458"/>
      <c r="I528" s="459"/>
      <c r="J528" s="459"/>
    </row>
    <row r="529" spans="1:10" x14ac:dyDescent="0.25">
      <c r="A529" s="454" t="s">
        <v>159</v>
      </c>
      <c r="B529" s="455"/>
      <c r="C529" s="455"/>
      <c r="D529" s="456"/>
      <c r="E529" s="440"/>
      <c r="F529" s="440"/>
      <c r="G529" s="441">
        <v>11424</v>
      </c>
      <c r="H529" s="441"/>
      <c r="I529" s="457"/>
      <c r="J529" s="457"/>
    </row>
    <row r="530" spans="1:10" x14ac:dyDescent="0.25">
      <c r="A530" s="449" t="s">
        <v>160</v>
      </c>
      <c r="B530" s="450"/>
      <c r="C530" s="450"/>
      <c r="D530" s="451"/>
      <c r="E530" s="458"/>
      <c r="F530" s="458"/>
      <c r="G530" s="458"/>
      <c r="H530" s="458"/>
      <c r="I530" s="459"/>
      <c r="J530" s="459"/>
    </row>
    <row r="531" spans="1:10" x14ac:dyDescent="0.25">
      <c r="A531" s="454" t="s">
        <v>161</v>
      </c>
      <c r="B531" s="455"/>
      <c r="C531" s="455"/>
      <c r="D531" s="456"/>
      <c r="E531" s="440"/>
      <c r="F531" s="440"/>
      <c r="G531" s="441"/>
      <c r="H531" s="441"/>
      <c r="I531" s="457"/>
      <c r="J531" s="457"/>
    </row>
    <row r="532" spans="1:10" x14ac:dyDescent="0.25">
      <c r="A532" s="449" t="s">
        <v>162</v>
      </c>
      <c r="B532" s="450"/>
      <c r="C532" s="450"/>
      <c r="D532" s="451"/>
      <c r="E532" s="458"/>
      <c r="F532" s="458"/>
      <c r="G532" s="458"/>
      <c r="H532" s="458"/>
      <c r="I532" s="459"/>
      <c r="J532" s="459"/>
    </row>
    <row r="533" spans="1:10" x14ac:dyDescent="0.25">
      <c r="A533" s="454" t="s">
        <v>163</v>
      </c>
      <c r="B533" s="455"/>
      <c r="C533" s="455"/>
      <c r="D533" s="456"/>
      <c r="E533" s="440"/>
      <c r="F533" s="440"/>
      <c r="G533" s="441">
        <v>2338</v>
      </c>
      <c r="H533" s="441"/>
      <c r="I533" s="457"/>
      <c r="J533" s="457"/>
    </row>
    <row r="534" spans="1:10" x14ac:dyDescent="0.25">
      <c r="A534" s="449" t="s">
        <v>164</v>
      </c>
      <c r="B534" s="450"/>
      <c r="C534" s="450"/>
      <c r="D534" s="451"/>
      <c r="E534" s="452"/>
      <c r="F534" s="452"/>
      <c r="G534" s="452"/>
      <c r="H534" s="452"/>
      <c r="I534" s="453"/>
      <c r="J534" s="453"/>
    </row>
    <row r="535" spans="1:10" x14ac:dyDescent="0.25">
      <c r="A535" s="437"/>
      <c r="B535" s="438"/>
      <c r="C535" s="438"/>
      <c r="D535" s="439"/>
      <c r="E535" s="440"/>
      <c r="F535" s="440"/>
      <c r="G535" s="441"/>
      <c r="H535" s="441"/>
      <c r="I535" s="441"/>
      <c r="J535" s="441"/>
    </row>
    <row r="536" spans="1:10" x14ac:dyDescent="0.25">
      <c r="A536" s="437"/>
      <c r="B536" s="438"/>
      <c r="C536" s="438"/>
      <c r="D536" s="439"/>
      <c r="E536" s="440"/>
      <c r="F536" s="440"/>
      <c r="G536" s="441"/>
      <c r="H536" s="441"/>
      <c r="I536" s="441"/>
      <c r="J536" s="441"/>
    </row>
    <row r="537" spans="1:10" x14ac:dyDescent="0.25">
      <c r="A537" s="437"/>
      <c r="B537" s="438"/>
      <c r="C537" s="438"/>
      <c r="D537" s="439"/>
      <c r="E537" s="440"/>
      <c r="F537" s="440"/>
      <c r="G537" s="441"/>
      <c r="H537" s="441"/>
      <c r="I537" s="441"/>
      <c r="J537" s="441"/>
    </row>
    <row r="538" spans="1:10" ht="12.75" customHeight="1" x14ac:dyDescent="0.25">
      <c r="A538" s="442" t="s">
        <v>165</v>
      </c>
      <c r="B538" s="443"/>
      <c r="C538" s="443"/>
      <c r="D538" s="444"/>
      <c r="E538" s="445">
        <f>SUM(E528:E537)</f>
        <v>0</v>
      </c>
      <c r="F538" s="445"/>
      <c r="G538" s="445">
        <f>SUM(G528:G537)</f>
        <v>25714</v>
      </c>
      <c r="H538" s="445"/>
      <c r="I538" s="445">
        <f>SUM(I528:I537)</f>
        <v>0</v>
      </c>
      <c r="J538" s="445"/>
    </row>
    <row r="539" spans="1:10" ht="12.75" customHeight="1" x14ac:dyDescent="0.25">
      <c r="A539" s="446" t="s">
        <v>166</v>
      </c>
      <c r="B539" s="447"/>
      <c r="C539" s="447"/>
      <c r="D539" s="447"/>
      <c r="E539" s="447"/>
      <c r="F539" s="447"/>
      <c r="G539" s="447"/>
      <c r="H539" s="447"/>
      <c r="I539" s="447"/>
      <c r="J539" s="448"/>
    </row>
    <row r="540" spans="1:10" ht="12.75" customHeight="1" x14ac:dyDescent="0.25">
      <c r="A540" s="423" t="s">
        <v>167</v>
      </c>
      <c r="B540" s="424"/>
      <c r="C540" s="424"/>
      <c r="D540" s="424"/>
      <c r="E540" s="424"/>
      <c r="F540" s="424"/>
      <c r="G540" s="424"/>
      <c r="H540" s="424"/>
      <c r="I540" s="424"/>
      <c r="J540" s="425"/>
    </row>
    <row r="541" spans="1:10" ht="12.75" customHeight="1" x14ac:dyDescent="0.25">
      <c r="A541" s="423" t="s">
        <v>168</v>
      </c>
      <c r="B541" s="424"/>
      <c r="C541" s="424"/>
      <c r="D541" s="424"/>
      <c r="E541" s="424"/>
      <c r="F541" s="424"/>
      <c r="G541" s="424"/>
      <c r="H541" s="424"/>
      <c r="I541" s="424"/>
      <c r="J541" s="425"/>
    </row>
    <row r="542" spans="1:10" x14ac:dyDescent="0.25">
      <c r="A542" s="426" t="s">
        <v>169</v>
      </c>
      <c r="B542" s="427"/>
      <c r="C542" s="427"/>
      <c r="D542" s="427"/>
      <c r="E542" s="427"/>
      <c r="F542" s="427"/>
      <c r="G542" s="427"/>
      <c r="H542" s="427"/>
      <c r="I542" s="427"/>
      <c r="J542" s="428"/>
    </row>
    <row r="543" spans="1:10" x14ac:dyDescent="0.25">
      <c r="A543" s="494" t="s">
        <v>953</v>
      </c>
      <c r="B543" s="495"/>
      <c r="C543" s="495"/>
      <c r="D543" s="495"/>
      <c r="E543" s="495"/>
      <c r="F543" s="495"/>
      <c r="G543" s="495"/>
      <c r="H543" s="495"/>
      <c r="I543" s="495"/>
      <c r="J543" s="496"/>
    </row>
    <row r="544" spans="1:10" x14ac:dyDescent="0.25">
      <c r="A544" s="497"/>
      <c r="B544" s="498"/>
      <c r="C544" s="498"/>
      <c r="D544" s="498"/>
      <c r="E544" s="498"/>
      <c r="F544" s="498"/>
      <c r="G544" s="498"/>
      <c r="H544" s="498"/>
      <c r="I544" s="498"/>
      <c r="J544" s="499"/>
    </row>
    <row r="545" spans="1:10" x14ac:dyDescent="0.25">
      <c r="A545" s="497"/>
      <c r="B545" s="498"/>
      <c r="C545" s="498"/>
      <c r="D545" s="498"/>
      <c r="E545" s="498"/>
      <c r="F545" s="498"/>
      <c r="G545" s="498"/>
      <c r="H545" s="498"/>
      <c r="I545" s="498"/>
      <c r="J545" s="499"/>
    </row>
    <row r="546" spans="1:10" x14ac:dyDescent="0.25">
      <c r="A546" s="497"/>
      <c r="B546" s="498"/>
      <c r="C546" s="498"/>
      <c r="D546" s="498"/>
      <c r="E546" s="498"/>
      <c r="F546" s="498"/>
      <c r="G546" s="498"/>
      <c r="H546" s="498"/>
      <c r="I546" s="498"/>
      <c r="J546" s="499"/>
    </row>
    <row r="547" spans="1:10" x14ac:dyDescent="0.25">
      <c r="A547" s="497"/>
      <c r="B547" s="498"/>
      <c r="C547" s="498"/>
      <c r="D547" s="498"/>
      <c r="E547" s="498"/>
      <c r="F547" s="498"/>
      <c r="G547" s="498"/>
      <c r="H547" s="498"/>
      <c r="I547" s="498"/>
      <c r="J547" s="499"/>
    </row>
    <row r="548" spans="1:10" x14ac:dyDescent="0.25">
      <c r="A548" s="497"/>
      <c r="B548" s="498"/>
      <c r="C548" s="498"/>
      <c r="D548" s="498"/>
      <c r="E548" s="498"/>
      <c r="F548" s="498"/>
      <c r="G548" s="498"/>
      <c r="H548" s="498"/>
      <c r="I548" s="498"/>
      <c r="J548" s="499"/>
    </row>
    <row r="549" spans="1:10" x14ac:dyDescent="0.25">
      <c r="A549" s="497"/>
      <c r="B549" s="498"/>
      <c r="C549" s="498"/>
      <c r="D549" s="498"/>
      <c r="E549" s="498"/>
      <c r="F549" s="498"/>
      <c r="G549" s="498"/>
      <c r="H549" s="498"/>
      <c r="I549" s="498"/>
      <c r="J549" s="499"/>
    </row>
    <row r="550" spans="1:10" x14ac:dyDescent="0.25">
      <c r="A550" s="497"/>
      <c r="B550" s="498"/>
      <c r="C550" s="498"/>
      <c r="D550" s="498"/>
      <c r="E550" s="498"/>
      <c r="F550" s="498"/>
      <c r="G550" s="498"/>
      <c r="H550" s="498"/>
      <c r="I550" s="498"/>
      <c r="J550" s="499"/>
    </row>
    <row r="551" spans="1:10" x14ac:dyDescent="0.25">
      <c r="A551" s="497"/>
      <c r="B551" s="498"/>
      <c r="C551" s="498"/>
      <c r="D551" s="498"/>
      <c r="E551" s="498"/>
      <c r="F551" s="498"/>
      <c r="G551" s="498"/>
      <c r="H551" s="498"/>
      <c r="I551" s="498"/>
      <c r="J551" s="499"/>
    </row>
    <row r="552" spans="1:10" x14ac:dyDescent="0.25">
      <c r="A552" s="497"/>
      <c r="B552" s="498"/>
      <c r="C552" s="498"/>
      <c r="D552" s="498"/>
      <c r="E552" s="498"/>
      <c r="F552" s="498"/>
      <c r="G552" s="498"/>
      <c r="H552" s="498"/>
      <c r="I552" s="498"/>
      <c r="J552" s="499"/>
    </row>
    <row r="553" spans="1:10" x14ac:dyDescent="0.25">
      <c r="A553" s="497"/>
      <c r="B553" s="498"/>
      <c r="C553" s="498"/>
      <c r="D553" s="498"/>
      <c r="E553" s="498"/>
      <c r="F553" s="498"/>
      <c r="G553" s="498"/>
      <c r="H553" s="498"/>
      <c r="I553" s="498"/>
      <c r="J553" s="499"/>
    </row>
    <row r="554" spans="1:10" x14ac:dyDescent="0.25">
      <c r="A554" s="497"/>
      <c r="B554" s="498"/>
      <c r="C554" s="498"/>
      <c r="D554" s="498"/>
      <c r="E554" s="498"/>
      <c r="F554" s="498"/>
      <c r="G554" s="498"/>
      <c r="H554" s="498"/>
      <c r="I554" s="498"/>
      <c r="J554" s="499"/>
    </row>
    <row r="555" spans="1:10" x14ac:dyDescent="0.25">
      <c r="A555" s="497"/>
      <c r="B555" s="498"/>
      <c r="C555" s="498"/>
      <c r="D555" s="498"/>
      <c r="E555" s="498"/>
      <c r="F555" s="498"/>
      <c r="G555" s="498"/>
      <c r="H555" s="498"/>
      <c r="I555" s="498"/>
      <c r="J555" s="499"/>
    </row>
    <row r="556" spans="1:10" x14ac:dyDescent="0.25">
      <c r="A556" s="497"/>
      <c r="B556" s="498"/>
      <c r="C556" s="498"/>
      <c r="D556" s="498"/>
      <c r="E556" s="498"/>
      <c r="F556" s="498"/>
      <c r="G556" s="498"/>
      <c r="H556" s="498"/>
      <c r="I556" s="498"/>
      <c r="J556" s="499"/>
    </row>
    <row r="557" spans="1:10" x14ac:dyDescent="0.25">
      <c r="A557" s="497"/>
      <c r="B557" s="498"/>
      <c r="C557" s="498"/>
      <c r="D557" s="498"/>
      <c r="E557" s="498"/>
      <c r="F557" s="498"/>
      <c r="G557" s="498"/>
      <c r="H557" s="498"/>
      <c r="I557" s="498"/>
      <c r="J557" s="499"/>
    </row>
    <row r="558" spans="1:10" x14ac:dyDescent="0.25">
      <c r="A558" s="497"/>
      <c r="B558" s="498"/>
      <c r="C558" s="498"/>
      <c r="D558" s="498"/>
      <c r="E558" s="498"/>
      <c r="F558" s="498"/>
      <c r="G558" s="498"/>
      <c r="H558" s="498"/>
      <c r="I558" s="498"/>
      <c r="J558" s="499"/>
    </row>
    <row r="559" spans="1:10" x14ac:dyDescent="0.25">
      <c r="A559" s="497"/>
      <c r="B559" s="498"/>
      <c r="C559" s="498"/>
      <c r="D559" s="498"/>
      <c r="E559" s="498"/>
      <c r="F559" s="498"/>
      <c r="G559" s="498"/>
      <c r="H559" s="498"/>
      <c r="I559" s="498"/>
      <c r="J559" s="499"/>
    </row>
    <row r="560" spans="1:10" x14ac:dyDescent="0.25">
      <c r="A560" s="497"/>
      <c r="B560" s="498"/>
      <c r="C560" s="498"/>
      <c r="D560" s="498"/>
      <c r="E560" s="498"/>
      <c r="F560" s="498"/>
      <c r="G560" s="498"/>
      <c r="H560" s="498"/>
      <c r="I560" s="498"/>
      <c r="J560" s="499"/>
    </row>
    <row r="561" spans="1:10" x14ac:dyDescent="0.25">
      <c r="A561" s="497"/>
      <c r="B561" s="498"/>
      <c r="C561" s="498"/>
      <c r="D561" s="498"/>
      <c r="E561" s="498"/>
      <c r="F561" s="498"/>
      <c r="G561" s="498"/>
      <c r="H561" s="498"/>
      <c r="I561" s="498"/>
      <c r="J561" s="499"/>
    </row>
    <row r="562" spans="1:10" x14ac:dyDescent="0.25">
      <c r="A562" s="497"/>
      <c r="B562" s="498"/>
      <c r="C562" s="498"/>
      <c r="D562" s="498"/>
      <c r="E562" s="498"/>
      <c r="F562" s="498"/>
      <c r="G562" s="498"/>
      <c r="H562" s="498"/>
      <c r="I562" s="498"/>
      <c r="J562" s="499"/>
    </row>
    <row r="563" spans="1:10" x14ac:dyDescent="0.25">
      <c r="A563" s="497"/>
      <c r="B563" s="498"/>
      <c r="C563" s="498"/>
      <c r="D563" s="498"/>
      <c r="E563" s="498"/>
      <c r="F563" s="498"/>
      <c r="G563" s="498"/>
      <c r="H563" s="498"/>
      <c r="I563" s="498"/>
      <c r="J563" s="499"/>
    </row>
    <row r="564" spans="1:10" x14ac:dyDescent="0.25">
      <c r="A564" s="497"/>
      <c r="B564" s="498"/>
      <c r="C564" s="498"/>
      <c r="D564" s="498"/>
      <c r="E564" s="498"/>
      <c r="F564" s="498"/>
      <c r="G564" s="498"/>
      <c r="H564" s="498"/>
      <c r="I564" s="498"/>
      <c r="J564" s="499"/>
    </row>
    <row r="565" spans="1:10" x14ac:dyDescent="0.25">
      <c r="A565" s="497"/>
      <c r="B565" s="498"/>
      <c r="C565" s="498"/>
      <c r="D565" s="498"/>
      <c r="E565" s="498"/>
      <c r="F565" s="498"/>
      <c r="G565" s="498"/>
      <c r="H565" s="498"/>
      <c r="I565" s="498"/>
      <c r="J565" s="499"/>
    </row>
    <row r="566" spans="1:10" x14ac:dyDescent="0.25">
      <c r="A566" s="497"/>
      <c r="B566" s="498"/>
      <c r="C566" s="498"/>
      <c r="D566" s="498"/>
      <c r="E566" s="498"/>
      <c r="F566" s="498"/>
      <c r="G566" s="498"/>
      <c r="H566" s="498"/>
      <c r="I566" s="498"/>
      <c r="J566" s="499"/>
    </row>
    <row r="567" spans="1:10" x14ac:dyDescent="0.25">
      <c r="A567" s="497"/>
      <c r="B567" s="498"/>
      <c r="C567" s="498"/>
      <c r="D567" s="498"/>
      <c r="E567" s="498"/>
      <c r="F567" s="498"/>
      <c r="G567" s="498"/>
      <c r="H567" s="498"/>
      <c r="I567" s="498"/>
      <c r="J567" s="499"/>
    </row>
    <row r="568" spans="1:10" x14ac:dyDescent="0.25">
      <c r="A568" s="497"/>
      <c r="B568" s="498"/>
      <c r="C568" s="498"/>
      <c r="D568" s="498"/>
      <c r="E568" s="498"/>
      <c r="F568" s="498"/>
      <c r="G568" s="498"/>
      <c r="H568" s="498"/>
      <c r="I568" s="498"/>
      <c r="J568" s="499"/>
    </row>
    <row r="569" spans="1:10" x14ac:dyDescent="0.25">
      <c r="A569" s="497"/>
      <c r="B569" s="498"/>
      <c r="C569" s="498"/>
      <c r="D569" s="498"/>
      <c r="E569" s="498"/>
      <c r="F569" s="498"/>
      <c r="G569" s="498"/>
      <c r="H569" s="498"/>
      <c r="I569" s="498"/>
      <c r="J569" s="499"/>
    </row>
    <row r="570" spans="1:10" x14ac:dyDescent="0.25">
      <c r="A570" s="497"/>
      <c r="B570" s="498"/>
      <c r="C570" s="498"/>
      <c r="D570" s="498"/>
      <c r="E570" s="498"/>
      <c r="F570" s="498"/>
      <c r="G570" s="498"/>
      <c r="H570" s="498"/>
      <c r="I570" s="498"/>
      <c r="J570" s="499"/>
    </row>
    <row r="571" spans="1:10" x14ac:dyDescent="0.25">
      <c r="A571" s="497"/>
      <c r="B571" s="498"/>
      <c r="C571" s="498"/>
      <c r="D571" s="498"/>
      <c r="E571" s="498"/>
      <c r="F571" s="498"/>
      <c r="G571" s="498"/>
      <c r="H571" s="498"/>
      <c r="I571" s="498"/>
      <c r="J571" s="499"/>
    </row>
    <row r="572" spans="1:10" x14ac:dyDescent="0.25">
      <c r="A572" s="497"/>
      <c r="B572" s="498"/>
      <c r="C572" s="498"/>
      <c r="D572" s="498"/>
      <c r="E572" s="498"/>
      <c r="F572" s="498"/>
      <c r="G572" s="498"/>
      <c r="H572" s="498"/>
      <c r="I572" s="498"/>
      <c r="J572" s="499"/>
    </row>
    <row r="573" spans="1:10" x14ac:dyDescent="0.25">
      <c r="A573" s="497"/>
      <c r="B573" s="498"/>
      <c r="C573" s="498"/>
      <c r="D573" s="498"/>
      <c r="E573" s="498"/>
      <c r="F573" s="498"/>
      <c r="G573" s="498"/>
      <c r="H573" s="498"/>
      <c r="I573" s="498"/>
      <c r="J573" s="499"/>
    </row>
    <row r="574" spans="1:10" x14ac:dyDescent="0.25">
      <c r="A574" s="497"/>
      <c r="B574" s="498"/>
      <c r="C574" s="498"/>
      <c r="D574" s="498"/>
      <c r="E574" s="498"/>
      <c r="F574" s="498"/>
      <c r="G574" s="498"/>
      <c r="H574" s="498"/>
      <c r="I574" s="498"/>
      <c r="J574" s="499"/>
    </row>
    <row r="575" spans="1:10" x14ac:dyDescent="0.25">
      <c r="A575" s="497"/>
      <c r="B575" s="498"/>
      <c r="C575" s="498"/>
      <c r="D575" s="498"/>
      <c r="E575" s="498"/>
      <c r="F575" s="498"/>
      <c r="G575" s="498"/>
      <c r="H575" s="498"/>
      <c r="I575" s="498"/>
      <c r="J575" s="499"/>
    </row>
    <row r="576" spans="1:10" x14ac:dyDescent="0.25">
      <c r="A576" s="497"/>
      <c r="B576" s="498"/>
      <c r="C576" s="498"/>
      <c r="D576" s="498"/>
      <c r="E576" s="498"/>
      <c r="F576" s="498"/>
      <c r="G576" s="498"/>
      <c r="H576" s="498"/>
      <c r="I576" s="498"/>
      <c r="J576" s="499"/>
    </row>
    <row r="577" spans="1:10" x14ac:dyDescent="0.25">
      <c r="A577" s="500"/>
      <c r="B577" s="501"/>
      <c r="C577" s="501"/>
      <c r="D577" s="501"/>
      <c r="E577" s="501"/>
      <c r="F577" s="501"/>
      <c r="G577" s="501"/>
      <c r="H577" s="501"/>
      <c r="I577" s="501"/>
      <c r="J577" s="502"/>
    </row>
    <row r="579" spans="1:10" ht="15" customHeight="1" x14ac:dyDescent="0.3">
      <c r="A579" s="372" t="s">
        <v>76</v>
      </c>
      <c r="B579" s="373"/>
      <c r="C579" s="373"/>
      <c r="D579" s="373"/>
      <c r="E579" s="373"/>
      <c r="F579" s="373"/>
      <c r="G579" s="373"/>
      <c r="H579" s="370" t="str">
        <f>'CONTACT INFORMATION'!$A$24</f>
        <v>Ventura</v>
      </c>
      <c r="I579" s="370"/>
      <c r="J579" s="371"/>
    </row>
    <row r="580" spans="1:10" x14ac:dyDescent="0.25">
      <c r="A580" s="152"/>
      <c r="B580" s="152"/>
      <c r="C580" s="152"/>
      <c r="D580" s="152"/>
      <c r="E580" s="152"/>
      <c r="F580" s="152"/>
      <c r="G580" s="152"/>
      <c r="H580" s="152"/>
      <c r="I580" s="152"/>
      <c r="J580" s="152"/>
    </row>
    <row r="581" spans="1:10" ht="12.75" customHeight="1" x14ac:dyDescent="0.25">
      <c r="A581" s="460" t="s">
        <v>192</v>
      </c>
      <c r="B581" s="461"/>
      <c r="C581" s="461"/>
      <c r="D581" s="461"/>
      <c r="E581" s="461"/>
      <c r="F581" s="461"/>
      <c r="G581" s="461"/>
      <c r="H581" s="461"/>
      <c r="I581" s="461"/>
      <c r="J581" s="462"/>
    </row>
    <row r="582" spans="1:10" ht="12.75" customHeight="1" x14ac:dyDescent="0.25">
      <c r="A582" s="463" t="s">
        <v>151</v>
      </c>
      <c r="B582" s="464"/>
      <c r="C582" s="464"/>
      <c r="D582" s="465"/>
      <c r="E582" s="488" t="s">
        <v>193</v>
      </c>
      <c r="F582" s="489"/>
      <c r="G582" s="489"/>
      <c r="H582" s="489"/>
      <c r="I582" s="489"/>
      <c r="J582" s="490"/>
    </row>
    <row r="583" spans="1:10" x14ac:dyDescent="0.25">
      <c r="A583" s="472" t="s">
        <v>181</v>
      </c>
      <c r="B583" s="473"/>
      <c r="C583" s="473"/>
      <c r="D583" s="474"/>
      <c r="E583" s="491"/>
      <c r="F583" s="492"/>
      <c r="G583" s="492"/>
      <c r="H583" s="492"/>
      <c r="I583" s="492"/>
      <c r="J583" s="493"/>
    </row>
    <row r="584" spans="1:10" ht="27" customHeight="1" x14ac:dyDescent="0.25">
      <c r="A584" s="475" t="s">
        <v>182</v>
      </c>
      <c r="B584" s="476"/>
      <c r="C584" s="476"/>
      <c r="D584" s="477"/>
      <c r="E584" s="485" t="s">
        <v>83</v>
      </c>
      <c r="F584" s="486"/>
      <c r="G584" s="486"/>
      <c r="H584" s="486"/>
      <c r="I584" s="486"/>
      <c r="J584" s="487"/>
    </row>
    <row r="585" spans="1:10" x14ac:dyDescent="0.25">
      <c r="A585" s="146"/>
      <c r="B585" s="220"/>
      <c r="C585" s="220"/>
      <c r="D585" s="220"/>
      <c r="E585" s="481" t="s">
        <v>155</v>
      </c>
      <c r="F585" s="482"/>
      <c r="G585" s="481" t="s">
        <v>156</v>
      </c>
      <c r="H585" s="482"/>
      <c r="I585" s="483" t="s">
        <v>157</v>
      </c>
      <c r="J585" s="484"/>
    </row>
    <row r="586" spans="1:10" x14ac:dyDescent="0.25">
      <c r="A586" s="449" t="s">
        <v>158</v>
      </c>
      <c r="B586" s="450"/>
      <c r="C586" s="450"/>
      <c r="D586" s="451"/>
      <c r="E586" s="458"/>
      <c r="F586" s="458"/>
      <c r="G586" s="458">
        <v>40324</v>
      </c>
      <c r="H586" s="458"/>
      <c r="I586" s="459"/>
      <c r="J586" s="459"/>
    </row>
    <row r="587" spans="1:10" x14ac:dyDescent="0.25">
      <c r="A587" s="454" t="s">
        <v>159</v>
      </c>
      <c r="B587" s="455"/>
      <c r="C587" s="455"/>
      <c r="D587" s="456"/>
      <c r="E587" s="440"/>
      <c r="F587" s="440"/>
      <c r="G587" s="441">
        <v>103620</v>
      </c>
      <c r="H587" s="441"/>
      <c r="I587" s="457"/>
      <c r="J587" s="457"/>
    </row>
    <row r="588" spans="1:10" x14ac:dyDescent="0.25">
      <c r="A588" s="449" t="s">
        <v>160</v>
      </c>
      <c r="B588" s="450"/>
      <c r="C588" s="450"/>
      <c r="D588" s="451"/>
      <c r="E588" s="458"/>
      <c r="F588" s="458"/>
      <c r="G588" s="458">
        <v>34204</v>
      </c>
      <c r="H588" s="458"/>
      <c r="I588" s="459"/>
      <c r="J588" s="459"/>
    </row>
    <row r="589" spans="1:10" x14ac:dyDescent="0.25">
      <c r="A589" s="454" t="s">
        <v>161</v>
      </c>
      <c r="B589" s="455"/>
      <c r="C589" s="455"/>
      <c r="D589" s="456"/>
      <c r="E589" s="440"/>
      <c r="F589" s="440"/>
      <c r="G589" s="441"/>
      <c r="H589" s="441"/>
      <c r="I589" s="457"/>
      <c r="J589" s="457"/>
    </row>
    <row r="590" spans="1:10" x14ac:dyDescent="0.25">
      <c r="A590" s="449" t="s">
        <v>162</v>
      </c>
      <c r="B590" s="450"/>
      <c r="C590" s="450"/>
      <c r="D590" s="451"/>
      <c r="E590" s="458"/>
      <c r="F590" s="458"/>
      <c r="G590" s="458"/>
      <c r="H590" s="458"/>
      <c r="I590" s="459"/>
      <c r="J590" s="459"/>
    </row>
    <row r="591" spans="1:10" x14ac:dyDescent="0.25">
      <c r="A591" s="454" t="s">
        <v>163</v>
      </c>
      <c r="B591" s="455"/>
      <c r="C591" s="455"/>
      <c r="D591" s="456"/>
      <c r="E591" s="440"/>
      <c r="F591" s="440"/>
      <c r="G591" s="441">
        <v>17815</v>
      </c>
      <c r="H591" s="441"/>
      <c r="I591" s="457"/>
      <c r="J591" s="457"/>
    </row>
    <row r="592" spans="1:10" x14ac:dyDescent="0.25">
      <c r="A592" s="449" t="s">
        <v>164</v>
      </c>
      <c r="B592" s="450"/>
      <c r="C592" s="450"/>
      <c r="D592" s="451"/>
      <c r="E592" s="452"/>
      <c r="F592" s="452"/>
      <c r="G592" s="452"/>
      <c r="H592" s="452"/>
      <c r="I592" s="453"/>
      <c r="J592" s="453"/>
    </row>
    <row r="593" spans="1:12" x14ac:dyDescent="0.25">
      <c r="A593" s="437"/>
      <c r="B593" s="438"/>
      <c r="C593" s="438"/>
      <c r="D593" s="439"/>
      <c r="E593" s="440"/>
      <c r="F593" s="440"/>
      <c r="G593" s="441"/>
      <c r="H593" s="441"/>
      <c r="I593" s="441"/>
      <c r="J593" s="441"/>
    </row>
    <row r="594" spans="1:12" x14ac:dyDescent="0.25">
      <c r="A594" s="437"/>
      <c r="B594" s="438"/>
      <c r="C594" s="438"/>
      <c r="D594" s="439"/>
      <c r="E594" s="440"/>
      <c r="F594" s="440"/>
      <c r="G594" s="441"/>
      <c r="H594" s="441"/>
      <c r="I594" s="441"/>
      <c r="J594" s="441"/>
    </row>
    <row r="595" spans="1:12" x14ac:dyDescent="0.25">
      <c r="A595" s="437"/>
      <c r="B595" s="438"/>
      <c r="C595" s="438"/>
      <c r="D595" s="439"/>
      <c r="E595" s="440"/>
      <c r="F595" s="440"/>
      <c r="G595" s="441"/>
      <c r="H595" s="441"/>
      <c r="I595" s="441"/>
      <c r="J595" s="441"/>
    </row>
    <row r="596" spans="1:12" ht="12.75" customHeight="1" x14ac:dyDescent="0.25">
      <c r="A596" s="442" t="s">
        <v>165</v>
      </c>
      <c r="B596" s="443"/>
      <c r="C596" s="443"/>
      <c r="D596" s="444"/>
      <c r="E596" s="445">
        <f>SUM(E586:E595)</f>
        <v>0</v>
      </c>
      <c r="F596" s="445"/>
      <c r="G596" s="445">
        <f>SUM(G586:G595)</f>
        <v>195963</v>
      </c>
      <c r="H596" s="445"/>
      <c r="I596" s="445">
        <f>SUM(I586:I595)</f>
        <v>0</v>
      </c>
      <c r="J596" s="445"/>
    </row>
    <row r="597" spans="1:12" ht="12.75" customHeight="1" x14ac:dyDescent="0.25">
      <c r="A597" s="446" t="s">
        <v>166</v>
      </c>
      <c r="B597" s="447"/>
      <c r="C597" s="447"/>
      <c r="D597" s="447"/>
      <c r="E597" s="447"/>
      <c r="F597" s="447"/>
      <c r="G597" s="447"/>
      <c r="H597" s="447"/>
      <c r="I597" s="447"/>
      <c r="J597" s="448"/>
    </row>
    <row r="598" spans="1:12" ht="12.75" customHeight="1" x14ac:dyDescent="0.25">
      <c r="A598" s="423" t="s">
        <v>167</v>
      </c>
      <c r="B598" s="424"/>
      <c r="C598" s="424"/>
      <c r="D598" s="424"/>
      <c r="E598" s="424"/>
      <c r="F598" s="424"/>
      <c r="G598" s="424"/>
      <c r="H598" s="424"/>
      <c r="I598" s="424"/>
      <c r="J598" s="425"/>
    </row>
    <row r="599" spans="1:12" ht="12.75" customHeight="1" x14ac:dyDescent="0.25">
      <c r="A599" s="423" t="s">
        <v>168</v>
      </c>
      <c r="B599" s="424"/>
      <c r="C599" s="424"/>
      <c r="D599" s="424"/>
      <c r="E599" s="424"/>
      <c r="F599" s="424"/>
      <c r="G599" s="424"/>
      <c r="H599" s="424"/>
      <c r="I599" s="424"/>
      <c r="J599" s="425"/>
    </row>
    <row r="600" spans="1:12" x14ac:dyDescent="0.25">
      <c r="A600" s="426" t="s">
        <v>169</v>
      </c>
      <c r="B600" s="427"/>
      <c r="C600" s="427"/>
      <c r="D600" s="427"/>
      <c r="E600" s="427"/>
      <c r="F600" s="427"/>
      <c r="G600" s="427"/>
      <c r="H600" s="427"/>
      <c r="I600" s="427"/>
      <c r="J600" s="428"/>
    </row>
    <row r="601" spans="1:12" x14ac:dyDescent="0.25">
      <c r="A601" s="316" t="s">
        <v>952</v>
      </c>
      <c r="B601" s="429"/>
      <c r="C601" s="429"/>
      <c r="D601" s="429"/>
      <c r="E601" s="429"/>
      <c r="F601" s="429"/>
      <c r="G601" s="429"/>
      <c r="H601" s="429"/>
      <c r="I601" s="429"/>
      <c r="J601" s="430"/>
    </row>
    <row r="602" spans="1:12" x14ac:dyDescent="0.25">
      <c r="A602" s="431"/>
      <c r="B602" s="432"/>
      <c r="C602" s="432"/>
      <c r="D602" s="432"/>
      <c r="E602" s="432"/>
      <c r="F602" s="432"/>
      <c r="G602" s="432"/>
      <c r="H602" s="432"/>
      <c r="I602" s="432"/>
      <c r="J602" s="433"/>
    </row>
    <row r="603" spans="1:12" x14ac:dyDescent="0.25">
      <c r="A603" s="431"/>
      <c r="B603" s="432"/>
      <c r="C603" s="432"/>
      <c r="D603" s="432"/>
      <c r="E603" s="432"/>
      <c r="F603" s="432"/>
      <c r="G603" s="432"/>
      <c r="H603" s="432"/>
      <c r="I603" s="432"/>
      <c r="J603" s="433"/>
    </row>
    <row r="604" spans="1:12" x14ac:dyDescent="0.25">
      <c r="A604" s="431"/>
      <c r="B604" s="432"/>
      <c r="C604" s="432"/>
      <c r="D604" s="432"/>
      <c r="E604" s="432"/>
      <c r="F604" s="432"/>
      <c r="G604" s="432"/>
      <c r="H604" s="432"/>
      <c r="I604" s="432"/>
      <c r="J604" s="433"/>
    </row>
    <row r="605" spans="1:12" x14ac:dyDescent="0.25">
      <c r="A605" s="431"/>
      <c r="B605" s="432"/>
      <c r="C605" s="432"/>
      <c r="D605" s="432"/>
      <c r="E605" s="432"/>
      <c r="F605" s="432"/>
      <c r="G605" s="432"/>
      <c r="H605" s="432"/>
      <c r="I605" s="432"/>
      <c r="J605" s="433"/>
      <c r="L605" s="210"/>
    </row>
    <row r="606" spans="1:12" x14ac:dyDescent="0.25">
      <c r="A606" s="431"/>
      <c r="B606" s="432"/>
      <c r="C606" s="432"/>
      <c r="D606" s="432"/>
      <c r="E606" s="432"/>
      <c r="F606" s="432"/>
      <c r="G606" s="432"/>
      <c r="H606" s="432"/>
      <c r="I606" s="432"/>
      <c r="J606" s="433"/>
      <c r="L606" s="210"/>
    </row>
    <row r="607" spans="1:12" x14ac:dyDescent="0.25">
      <c r="A607" s="431"/>
      <c r="B607" s="432"/>
      <c r="C607" s="432"/>
      <c r="D607" s="432"/>
      <c r="E607" s="432"/>
      <c r="F607" s="432"/>
      <c r="G607" s="432"/>
      <c r="H607" s="432"/>
      <c r="I607" s="432"/>
      <c r="J607" s="433"/>
    </row>
    <row r="608" spans="1:12" x14ac:dyDescent="0.25">
      <c r="A608" s="431"/>
      <c r="B608" s="432"/>
      <c r="C608" s="432"/>
      <c r="D608" s="432"/>
      <c r="E608" s="432"/>
      <c r="F608" s="432"/>
      <c r="G608" s="432"/>
      <c r="H608" s="432"/>
      <c r="I608" s="432"/>
      <c r="J608" s="433"/>
    </row>
    <row r="609" spans="1:10" x14ac:dyDescent="0.25">
      <c r="A609" s="431"/>
      <c r="B609" s="432"/>
      <c r="C609" s="432"/>
      <c r="D609" s="432"/>
      <c r="E609" s="432"/>
      <c r="F609" s="432"/>
      <c r="G609" s="432"/>
      <c r="H609" s="432"/>
      <c r="I609" s="432"/>
      <c r="J609" s="433"/>
    </row>
    <row r="610" spans="1:10" x14ac:dyDescent="0.25">
      <c r="A610" s="431"/>
      <c r="B610" s="432"/>
      <c r="C610" s="432"/>
      <c r="D610" s="432"/>
      <c r="E610" s="432"/>
      <c r="F610" s="432"/>
      <c r="G610" s="432"/>
      <c r="H610" s="432"/>
      <c r="I610" s="432"/>
      <c r="J610" s="433"/>
    </row>
    <row r="611" spans="1:10" x14ac:dyDescent="0.25">
      <c r="A611" s="431"/>
      <c r="B611" s="432"/>
      <c r="C611" s="432"/>
      <c r="D611" s="432"/>
      <c r="E611" s="432"/>
      <c r="F611" s="432"/>
      <c r="G611" s="432"/>
      <c r="H611" s="432"/>
      <c r="I611" s="432"/>
      <c r="J611" s="433"/>
    </row>
    <row r="612" spans="1:10" x14ac:dyDescent="0.25">
      <c r="A612" s="431"/>
      <c r="B612" s="432"/>
      <c r="C612" s="432"/>
      <c r="D612" s="432"/>
      <c r="E612" s="432"/>
      <c r="F612" s="432"/>
      <c r="G612" s="432"/>
      <c r="H612" s="432"/>
      <c r="I612" s="432"/>
      <c r="J612" s="433"/>
    </row>
    <row r="613" spans="1:10" x14ac:dyDescent="0.25">
      <c r="A613" s="431"/>
      <c r="B613" s="432"/>
      <c r="C613" s="432"/>
      <c r="D613" s="432"/>
      <c r="E613" s="432"/>
      <c r="F613" s="432"/>
      <c r="G613" s="432"/>
      <c r="H613" s="432"/>
      <c r="I613" s="432"/>
      <c r="J613" s="433"/>
    </row>
    <row r="614" spans="1:10" x14ac:dyDescent="0.25">
      <c r="A614" s="431"/>
      <c r="B614" s="432"/>
      <c r="C614" s="432"/>
      <c r="D614" s="432"/>
      <c r="E614" s="432"/>
      <c r="F614" s="432"/>
      <c r="G614" s="432"/>
      <c r="H614" s="432"/>
      <c r="I614" s="432"/>
      <c r="J614" s="433"/>
    </row>
    <row r="615" spans="1:10" x14ac:dyDescent="0.25">
      <c r="A615" s="431"/>
      <c r="B615" s="432"/>
      <c r="C615" s="432"/>
      <c r="D615" s="432"/>
      <c r="E615" s="432"/>
      <c r="F615" s="432"/>
      <c r="G615" s="432"/>
      <c r="H615" s="432"/>
      <c r="I615" s="432"/>
      <c r="J615" s="433"/>
    </row>
    <row r="616" spans="1:10" x14ac:dyDescent="0.25">
      <c r="A616" s="431"/>
      <c r="B616" s="432"/>
      <c r="C616" s="432"/>
      <c r="D616" s="432"/>
      <c r="E616" s="432"/>
      <c r="F616" s="432"/>
      <c r="G616" s="432"/>
      <c r="H616" s="432"/>
      <c r="I616" s="432"/>
      <c r="J616" s="433"/>
    </row>
    <row r="617" spans="1:10" x14ac:dyDescent="0.25">
      <c r="A617" s="431"/>
      <c r="B617" s="432"/>
      <c r="C617" s="432"/>
      <c r="D617" s="432"/>
      <c r="E617" s="432"/>
      <c r="F617" s="432"/>
      <c r="G617" s="432"/>
      <c r="H617" s="432"/>
      <c r="I617" s="432"/>
      <c r="J617" s="433"/>
    </row>
    <row r="618" spans="1:10" x14ac:dyDescent="0.25">
      <c r="A618" s="431"/>
      <c r="B618" s="432"/>
      <c r="C618" s="432"/>
      <c r="D618" s="432"/>
      <c r="E618" s="432"/>
      <c r="F618" s="432"/>
      <c r="G618" s="432"/>
      <c r="H618" s="432"/>
      <c r="I618" s="432"/>
      <c r="J618" s="433"/>
    </row>
    <row r="619" spans="1:10" x14ac:dyDescent="0.25">
      <c r="A619" s="431"/>
      <c r="B619" s="432"/>
      <c r="C619" s="432"/>
      <c r="D619" s="432"/>
      <c r="E619" s="432"/>
      <c r="F619" s="432"/>
      <c r="G619" s="432"/>
      <c r="H619" s="432"/>
      <c r="I619" s="432"/>
      <c r="J619" s="433"/>
    </row>
    <row r="620" spans="1:10" x14ac:dyDescent="0.25">
      <c r="A620" s="431"/>
      <c r="B620" s="432"/>
      <c r="C620" s="432"/>
      <c r="D620" s="432"/>
      <c r="E620" s="432"/>
      <c r="F620" s="432"/>
      <c r="G620" s="432"/>
      <c r="H620" s="432"/>
      <c r="I620" s="432"/>
      <c r="J620" s="433"/>
    </row>
    <row r="621" spans="1:10" x14ac:dyDescent="0.25">
      <c r="A621" s="431"/>
      <c r="B621" s="432"/>
      <c r="C621" s="432"/>
      <c r="D621" s="432"/>
      <c r="E621" s="432"/>
      <c r="F621" s="432"/>
      <c r="G621" s="432"/>
      <c r="H621" s="432"/>
      <c r="I621" s="432"/>
      <c r="J621" s="433"/>
    </row>
    <row r="622" spans="1:10" x14ac:dyDescent="0.25">
      <c r="A622" s="431"/>
      <c r="B622" s="432"/>
      <c r="C622" s="432"/>
      <c r="D622" s="432"/>
      <c r="E622" s="432"/>
      <c r="F622" s="432"/>
      <c r="G622" s="432"/>
      <c r="H622" s="432"/>
      <c r="I622" s="432"/>
      <c r="J622" s="433"/>
    </row>
    <row r="623" spans="1:10" x14ac:dyDescent="0.25">
      <c r="A623" s="431"/>
      <c r="B623" s="432"/>
      <c r="C623" s="432"/>
      <c r="D623" s="432"/>
      <c r="E623" s="432"/>
      <c r="F623" s="432"/>
      <c r="G623" s="432"/>
      <c r="H623" s="432"/>
      <c r="I623" s="432"/>
      <c r="J623" s="433"/>
    </row>
    <row r="624" spans="1:10" x14ac:dyDescent="0.25">
      <c r="A624" s="431"/>
      <c r="B624" s="432"/>
      <c r="C624" s="432"/>
      <c r="D624" s="432"/>
      <c r="E624" s="432"/>
      <c r="F624" s="432"/>
      <c r="G624" s="432"/>
      <c r="H624" s="432"/>
      <c r="I624" s="432"/>
      <c r="J624" s="433"/>
    </row>
    <row r="625" spans="1:10" x14ac:dyDescent="0.25">
      <c r="A625" s="431"/>
      <c r="B625" s="432"/>
      <c r="C625" s="432"/>
      <c r="D625" s="432"/>
      <c r="E625" s="432"/>
      <c r="F625" s="432"/>
      <c r="G625" s="432"/>
      <c r="H625" s="432"/>
      <c r="I625" s="432"/>
      <c r="J625" s="433"/>
    </row>
    <row r="626" spans="1:10" x14ac:dyDescent="0.25">
      <c r="A626" s="431"/>
      <c r="B626" s="432"/>
      <c r="C626" s="432"/>
      <c r="D626" s="432"/>
      <c r="E626" s="432"/>
      <c r="F626" s="432"/>
      <c r="G626" s="432"/>
      <c r="H626" s="432"/>
      <c r="I626" s="432"/>
      <c r="J626" s="433"/>
    </row>
    <row r="627" spans="1:10" x14ac:dyDescent="0.25">
      <c r="A627" s="431"/>
      <c r="B627" s="432"/>
      <c r="C627" s="432"/>
      <c r="D627" s="432"/>
      <c r="E627" s="432"/>
      <c r="F627" s="432"/>
      <c r="G627" s="432"/>
      <c r="H627" s="432"/>
      <c r="I627" s="432"/>
      <c r="J627" s="433"/>
    </row>
    <row r="628" spans="1:10" x14ac:dyDescent="0.25">
      <c r="A628" s="431"/>
      <c r="B628" s="432"/>
      <c r="C628" s="432"/>
      <c r="D628" s="432"/>
      <c r="E628" s="432"/>
      <c r="F628" s="432"/>
      <c r="G628" s="432"/>
      <c r="H628" s="432"/>
      <c r="I628" s="432"/>
      <c r="J628" s="433"/>
    </row>
    <row r="629" spans="1:10" x14ac:dyDescent="0.25">
      <c r="A629" s="431"/>
      <c r="B629" s="432"/>
      <c r="C629" s="432"/>
      <c r="D629" s="432"/>
      <c r="E629" s="432"/>
      <c r="F629" s="432"/>
      <c r="G629" s="432"/>
      <c r="H629" s="432"/>
      <c r="I629" s="432"/>
      <c r="J629" s="433"/>
    </row>
    <row r="630" spans="1:10" x14ac:dyDescent="0.25">
      <c r="A630" s="431"/>
      <c r="B630" s="432"/>
      <c r="C630" s="432"/>
      <c r="D630" s="432"/>
      <c r="E630" s="432"/>
      <c r="F630" s="432"/>
      <c r="G630" s="432"/>
      <c r="H630" s="432"/>
      <c r="I630" s="432"/>
      <c r="J630" s="433"/>
    </row>
    <row r="631" spans="1:10" x14ac:dyDescent="0.25">
      <c r="A631" s="431"/>
      <c r="B631" s="432"/>
      <c r="C631" s="432"/>
      <c r="D631" s="432"/>
      <c r="E631" s="432"/>
      <c r="F631" s="432"/>
      <c r="G631" s="432"/>
      <c r="H631" s="432"/>
      <c r="I631" s="432"/>
      <c r="J631" s="433"/>
    </row>
    <row r="632" spans="1:10" x14ac:dyDescent="0.25">
      <c r="A632" s="431"/>
      <c r="B632" s="432"/>
      <c r="C632" s="432"/>
      <c r="D632" s="432"/>
      <c r="E632" s="432"/>
      <c r="F632" s="432"/>
      <c r="G632" s="432"/>
      <c r="H632" s="432"/>
      <c r="I632" s="432"/>
      <c r="J632" s="433"/>
    </row>
    <row r="633" spans="1:10" x14ac:dyDescent="0.25">
      <c r="A633" s="431"/>
      <c r="B633" s="432"/>
      <c r="C633" s="432"/>
      <c r="D633" s="432"/>
      <c r="E633" s="432"/>
      <c r="F633" s="432"/>
      <c r="G633" s="432"/>
      <c r="H633" s="432"/>
      <c r="I633" s="432"/>
      <c r="J633" s="433"/>
    </row>
    <row r="634" spans="1:10" x14ac:dyDescent="0.25">
      <c r="A634" s="431"/>
      <c r="B634" s="432"/>
      <c r="C634" s="432"/>
      <c r="D634" s="432"/>
      <c r="E634" s="432"/>
      <c r="F634" s="432"/>
      <c r="G634" s="432"/>
      <c r="H634" s="432"/>
      <c r="I634" s="432"/>
      <c r="J634" s="433"/>
    </row>
    <row r="635" spans="1:10" x14ac:dyDescent="0.25">
      <c r="A635" s="434"/>
      <c r="B635" s="435"/>
      <c r="C635" s="435"/>
      <c r="D635" s="435"/>
      <c r="E635" s="435"/>
      <c r="F635" s="435"/>
      <c r="G635" s="435"/>
      <c r="H635" s="435"/>
      <c r="I635" s="435"/>
      <c r="J635" s="436"/>
    </row>
    <row r="637" spans="1:10" ht="15" customHeight="1" x14ac:dyDescent="0.3">
      <c r="A637" s="372" t="s">
        <v>76</v>
      </c>
      <c r="B637" s="373"/>
      <c r="C637" s="373"/>
      <c r="D637" s="373"/>
      <c r="E637" s="373"/>
      <c r="F637" s="373"/>
      <c r="G637" s="373"/>
      <c r="H637" s="370" t="str">
        <f>'CONTACT INFORMATION'!$A$24</f>
        <v>Ventura</v>
      </c>
      <c r="I637" s="370"/>
      <c r="J637" s="371"/>
    </row>
    <row r="638" spans="1:10" x14ac:dyDescent="0.25">
      <c r="A638" s="152"/>
      <c r="B638" s="152"/>
      <c r="C638" s="152"/>
      <c r="D638" s="152"/>
      <c r="E638" s="152"/>
      <c r="F638" s="152"/>
      <c r="G638" s="152"/>
      <c r="H638" s="152"/>
      <c r="I638" s="152"/>
      <c r="J638" s="152"/>
    </row>
    <row r="639" spans="1:10" ht="13.8" x14ac:dyDescent="0.25">
      <c r="A639" s="460" t="s">
        <v>195</v>
      </c>
      <c r="B639" s="461"/>
      <c r="C639" s="461"/>
      <c r="D639" s="461"/>
      <c r="E639" s="461"/>
      <c r="F639" s="461"/>
      <c r="G639" s="461"/>
      <c r="H639" s="461"/>
      <c r="I639" s="461"/>
      <c r="J639" s="462"/>
    </row>
    <row r="640" spans="1:10" x14ac:dyDescent="0.25">
      <c r="A640" s="463" t="s">
        <v>151</v>
      </c>
      <c r="B640" s="464"/>
      <c r="C640" s="464"/>
      <c r="D640" s="465"/>
      <c r="E640" s="488" t="s">
        <v>196</v>
      </c>
      <c r="F640" s="489"/>
      <c r="G640" s="489"/>
      <c r="H640" s="489"/>
      <c r="I640" s="489"/>
      <c r="J640" s="490"/>
    </row>
    <row r="641" spans="1:10" x14ac:dyDescent="0.25">
      <c r="A641" s="472" t="s">
        <v>181</v>
      </c>
      <c r="B641" s="473"/>
      <c r="C641" s="473"/>
      <c r="D641" s="474"/>
      <c r="E641" s="491"/>
      <c r="F641" s="492"/>
      <c r="G641" s="492"/>
      <c r="H641" s="492"/>
      <c r="I641" s="492"/>
      <c r="J641" s="493"/>
    </row>
    <row r="642" spans="1:10" ht="27" customHeight="1" x14ac:dyDescent="0.25">
      <c r="A642" s="475" t="s">
        <v>182</v>
      </c>
      <c r="B642" s="476"/>
      <c r="C642" s="476"/>
      <c r="D642" s="477"/>
      <c r="E642" s="485" t="s">
        <v>126</v>
      </c>
      <c r="F642" s="486"/>
      <c r="G642" s="486"/>
      <c r="H642" s="486"/>
      <c r="I642" s="486"/>
      <c r="J642" s="487"/>
    </row>
    <row r="643" spans="1:10" x14ac:dyDescent="0.25">
      <c r="A643" s="146"/>
      <c r="B643" s="220"/>
      <c r="C643" s="220"/>
      <c r="D643" s="220"/>
      <c r="E643" s="481" t="s">
        <v>155</v>
      </c>
      <c r="F643" s="482"/>
      <c r="G643" s="481" t="s">
        <v>156</v>
      </c>
      <c r="H643" s="482"/>
      <c r="I643" s="483" t="s">
        <v>157</v>
      </c>
      <c r="J643" s="484"/>
    </row>
    <row r="644" spans="1:10" x14ac:dyDescent="0.25">
      <c r="A644" s="449" t="s">
        <v>158</v>
      </c>
      <c r="B644" s="450"/>
      <c r="C644" s="450"/>
      <c r="D644" s="451"/>
      <c r="E644" s="458"/>
      <c r="F644" s="458"/>
      <c r="G644" s="458">
        <v>250397</v>
      </c>
      <c r="H644" s="458"/>
      <c r="I644" s="459"/>
      <c r="J644" s="459"/>
    </row>
    <row r="645" spans="1:10" x14ac:dyDescent="0.25">
      <c r="A645" s="454" t="s">
        <v>159</v>
      </c>
      <c r="B645" s="455"/>
      <c r="C645" s="455"/>
      <c r="D645" s="456"/>
      <c r="E645" s="440"/>
      <c r="F645" s="440"/>
      <c r="G645" s="441">
        <v>32014</v>
      </c>
      <c r="H645" s="441"/>
      <c r="I645" s="457"/>
      <c r="J645" s="457"/>
    </row>
    <row r="646" spans="1:10" x14ac:dyDescent="0.25">
      <c r="A646" s="449" t="s">
        <v>160</v>
      </c>
      <c r="B646" s="450"/>
      <c r="C646" s="450"/>
      <c r="D646" s="451"/>
      <c r="E646" s="458"/>
      <c r="F646" s="458"/>
      <c r="G646" s="458"/>
      <c r="H646" s="458"/>
      <c r="I646" s="459"/>
      <c r="J646" s="459"/>
    </row>
    <row r="647" spans="1:10" x14ac:dyDescent="0.25">
      <c r="A647" s="454" t="s">
        <v>161</v>
      </c>
      <c r="B647" s="455"/>
      <c r="C647" s="455"/>
      <c r="D647" s="456"/>
      <c r="E647" s="440"/>
      <c r="F647" s="440"/>
      <c r="G647" s="441"/>
      <c r="H647" s="441"/>
      <c r="I647" s="457"/>
      <c r="J647" s="457"/>
    </row>
    <row r="648" spans="1:10" x14ac:dyDescent="0.25">
      <c r="A648" s="449" t="s">
        <v>162</v>
      </c>
      <c r="B648" s="450"/>
      <c r="C648" s="450"/>
      <c r="D648" s="451"/>
      <c r="E648" s="458"/>
      <c r="F648" s="458"/>
      <c r="G648" s="458"/>
      <c r="H648" s="458"/>
      <c r="I648" s="459"/>
      <c r="J648" s="459"/>
    </row>
    <row r="649" spans="1:10" x14ac:dyDescent="0.25">
      <c r="A649" s="454" t="s">
        <v>163</v>
      </c>
      <c r="B649" s="455"/>
      <c r="C649" s="455"/>
      <c r="D649" s="456"/>
      <c r="E649" s="440"/>
      <c r="F649" s="440"/>
      <c r="G649" s="441">
        <v>28241</v>
      </c>
      <c r="H649" s="441"/>
      <c r="I649" s="457"/>
      <c r="J649" s="457"/>
    </row>
    <row r="650" spans="1:10" x14ac:dyDescent="0.25">
      <c r="A650" s="449" t="s">
        <v>164</v>
      </c>
      <c r="B650" s="450"/>
      <c r="C650" s="450"/>
      <c r="D650" s="451"/>
      <c r="E650" s="452"/>
      <c r="F650" s="452"/>
      <c r="G650" s="452"/>
      <c r="H650" s="452"/>
      <c r="I650" s="453"/>
      <c r="J650" s="453"/>
    </row>
    <row r="651" spans="1:10" x14ac:dyDescent="0.25">
      <c r="A651" s="437"/>
      <c r="B651" s="438"/>
      <c r="C651" s="438"/>
      <c r="D651" s="439"/>
      <c r="E651" s="440"/>
      <c r="F651" s="440"/>
      <c r="G651" s="441"/>
      <c r="H651" s="441"/>
      <c r="I651" s="441"/>
      <c r="J651" s="441"/>
    </row>
    <row r="652" spans="1:10" x14ac:dyDescent="0.25">
      <c r="A652" s="437"/>
      <c r="B652" s="438"/>
      <c r="C652" s="438"/>
      <c r="D652" s="439"/>
      <c r="E652" s="440"/>
      <c r="F652" s="440"/>
      <c r="G652" s="441"/>
      <c r="H652" s="441"/>
      <c r="I652" s="441"/>
      <c r="J652" s="441"/>
    </row>
    <row r="653" spans="1:10" x14ac:dyDescent="0.25">
      <c r="A653" s="437"/>
      <c r="B653" s="438"/>
      <c r="C653" s="438"/>
      <c r="D653" s="439"/>
      <c r="E653" s="440"/>
      <c r="F653" s="440"/>
      <c r="G653" s="441"/>
      <c r="H653" s="441"/>
      <c r="I653" s="441"/>
      <c r="J653" s="441"/>
    </row>
    <row r="654" spans="1:10" x14ac:dyDescent="0.25">
      <c r="A654" s="442" t="s">
        <v>165</v>
      </c>
      <c r="B654" s="443"/>
      <c r="C654" s="443"/>
      <c r="D654" s="444"/>
      <c r="E654" s="445">
        <f>SUM(E644:E653)</f>
        <v>0</v>
      </c>
      <c r="F654" s="445"/>
      <c r="G654" s="445">
        <f>SUM(G644:G653)</f>
        <v>310652</v>
      </c>
      <c r="H654" s="445"/>
      <c r="I654" s="445">
        <f>SUM(I644:I653)</f>
        <v>0</v>
      </c>
      <c r="J654" s="445"/>
    </row>
    <row r="655" spans="1:10" x14ac:dyDescent="0.25">
      <c r="A655" s="446" t="s">
        <v>166</v>
      </c>
      <c r="B655" s="447"/>
      <c r="C655" s="447"/>
      <c r="D655" s="447"/>
      <c r="E655" s="447"/>
      <c r="F655" s="447"/>
      <c r="G655" s="447"/>
      <c r="H655" s="447"/>
      <c r="I655" s="447"/>
      <c r="J655" s="448"/>
    </row>
    <row r="656" spans="1:10" x14ac:dyDescent="0.25">
      <c r="A656" s="423" t="s">
        <v>167</v>
      </c>
      <c r="B656" s="424"/>
      <c r="C656" s="424"/>
      <c r="D656" s="424"/>
      <c r="E656" s="424"/>
      <c r="F656" s="424"/>
      <c r="G656" s="424"/>
      <c r="H656" s="424"/>
      <c r="I656" s="424"/>
      <c r="J656" s="425"/>
    </row>
    <row r="657" spans="1:11" x14ac:dyDescent="0.25">
      <c r="A657" s="423" t="s">
        <v>168</v>
      </c>
      <c r="B657" s="424"/>
      <c r="C657" s="424"/>
      <c r="D657" s="424"/>
      <c r="E657" s="424"/>
      <c r="F657" s="424"/>
      <c r="G657" s="424"/>
      <c r="H657" s="424"/>
      <c r="I657" s="424"/>
      <c r="J657" s="425"/>
    </row>
    <row r="658" spans="1:11" x14ac:dyDescent="0.25">
      <c r="A658" s="426" t="s">
        <v>169</v>
      </c>
      <c r="B658" s="427"/>
      <c r="C658" s="427"/>
      <c r="D658" s="427"/>
      <c r="E658" s="427"/>
      <c r="F658" s="427"/>
      <c r="G658" s="427"/>
      <c r="H658" s="427"/>
      <c r="I658" s="427"/>
      <c r="J658" s="428"/>
      <c r="K658" s="33" t="s">
        <v>194</v>
      </c>
    </row>
    <row r="659" spans="1:11" x14ac:dyDescent="0.25">
      <c r="A659" s="316" t="s">
        <v>951</v>
      </c>
      <c r="B659" s="429"/>
      <c r="C659" s="429"/>
      <c r="D659" s="429"/>
      <c r="E659" s="429"/>
      <c r="F659" s="429"/>
      <c r="G659" s="429"/>
      <c r="H659" s="429"/>
      <c r="I659" s="429"/>
      <c r="J659" s="430"/>
    </row>
    <row r="660" spans="1:11" x14ac:dyDescent="0.25">
      <c r="A660" s="431"/>
      <c r="B660" s="432"/>
      <c r="C660" s="432"/>
      <c r="D660" s="432"/>
      <c r="E660" s="432"/>
      <c r="F660" s="432"/>
      <c r="G660" s="432"/>
      <c r="H660" s="432"/>
      <c r="I660" s="432"/>
      <c r="J660" s="433"/>
    </row>
    <row r="661" spans="1:11" x14ac:dyDescent="0.25">
      <c r="A661" s="431"/>
      <c r="B661" s="432"/>
      <c r="C661" s="432"/>
      <c r="D661" s="432"/>
      <c r="E661" s="432"/>
      <c r="F661" s="432"/>
      <c r="G661" s="432"/>
      <c r="H661" s="432"/>
      <c r="I661" s="432"/>
      <c r="J661" s="433"/>
    </row>
    <row r="662" spans="1:11" x14ac:dyDescent="0.25">
      <c r="A662" s="431"/>
      <c r="B662" s="432"/>
      <c r="C662" s="432"/>
      <c r="D662" s="432"/>
      <c r="E662" s="432"/>
      <c r="F662" s="432"/>
      <c r="G662" s="432"/>
      <c r="H662" s="432"/>
      <c r="I662" s="432"/>
      <c r="J662" s="433"/>
    </row>
    <row r="663" spans="1:11" x14ac:dyDescent="0.25">
      <c r="A663" s="431"/>
      <c r="B663" s="432"/>
      <c r="C663" s="432"/>
      <c r="D663" s="432"/>
      <c r="E663" s="432"/>
      <c r="F663" s="432"/>
      <c r="G663" s="432"/>
      <c r="H663" s="432"/>
      <c r="I663" s="432"/>
      <c r="J663" s="433"/>
    </row>
    <row r="664" spans="1:11" x14ac:dyDescent="0.25">
      <c r="A664" s="431"/>
      <c r="B664" s="432"/>
      <c r="C664" s="432"/>
      <c r="D664" s="432"/>
      <c r="E664" s="432"/>
      <c r="F664" s="432"/>
      <c r="G664" s="432"/>
      <c r="H664" s="432"/>
      <c r="I664" s="432"/>
      <c r="J664" s="433"/>
    </row>
    <row r="665" spans="1:11" x14ac:dyDescent="0.25">
      <c r="A665" s="431"/>
      <c r="B665" s="432"/>
      <c r="C665" s="432"/>
      <c r="D665" s="432"/>
      <c r="E665" s="432"/>
      <c r="F665" s="432"/>
      <c r="G665" s="432"/>
      <c r="H665" s="432"/>
      <c r="I665" s="432"/>
      <c r="J665" s="433"/>
    </row>
    <row r="666" spans="1:11" x14ac:dyDescent="0.25">
      <c r="A666" s="431"/>
      <c r="B666" s="432"/>
      <c r="C666" s="432"/>
      <c r="D666" s="432"/>
      <c r="E666" s="432"/>
      <c r="F666" s="432"/>
      <c r="G666" s="432"/>
      <c r="H666" s="432"/>
      <c r="I666" s="432"/>
      <c r="J666" s="433"/>
    </row>
    <row r="667" spans="1:11" x14ac:dyDescent="0.25">
      <c r="A667" s="431"/>
      <c r="B667" s="432"/>
      <c r="C667" s="432"/>
      <c r="D667" s="432"/>
      <c r="E667" s="432"/>
      <c r="F667" s="432"/>
      <c r="G667" s="432"/>
      <c r="H667" s="432"/>
      <c r="I667" s="432"/>
      <c r="J667" s="433"/>
    </row>
    <row r="668" spans="1:11" x14ac:dyDescent="0.25">
      <c r="A668" s="431"/>
      <c r="B668" s="432"/>
      <c r="C668" s="432"/>
      <c r="D668" s="432"/>
      <c r="E668" s="432"/>
      <c r="F668" s="432"/>
      <c r="G668" s="432"/>
      <c r="H668" s="432"/>
      <c r="I668" s="432"/>
      <c r="J668" s="433"/>
    </row>
    <row r="669" spans="1:11" x14ac:dyDescent="0.25">
      <c r="A669" s="431"/>
      <c r="B669" s="432"/>
      <c r="C669" s="432"/>
      <c r="D669" s="432"/>
      <c r="E669" s="432"/>
      <c r="F669" s="432"/>
      <c r="G669" s="432"/>
      <c r="H669" s="432"/>
      <c r="I669" s="432"/>
      <c r="J669" s="433"/>
    </row>
    <row r="670" spans="1:11" x14ac:dyDescent="0.25">
      <c r="A670" s="431"/>
      <c r="B670" s="432"/>
      <c r="C670" s="432"/>
      <c r="D670" s="432"/>
      <c r="E670" s="432"/>
      <c r="F670" s="432"/>
      <c r="G670" s="432"/>
      <c r="H670" s="432"/>
      <c r="I670" s="432"/>
      <c r="J670" s="433"/>
    </row>
    <row r="671" spans="1:11" x14ac:dyDescent="0.25">
      <c r="A671" s="431"/>
      <c r="B671" s="432"/>
      <c r="C671" s="432"/>
      <c r="D671" s="432"/>
      <c r="E671" s="432"/>
      <c r="F671" s="432"/>
      <c r="G671" s="432"/>
      <c r="H671" s="432"/>
      <c r="I671" s="432"/>
      <c r="J671" s="433"/>
    </row>
    <row r="672" spans="1:11" x14ac:dyDescent="0.25">
      <c r="A672" s="431"/>
      <c r="B672" s="432"/>
      <c r="C672" s="432"/>
      <c r="D672" s="432"/>
      <c r="E672" s="432"/>
      <c r="F672" s="432"/>
      <c r="G672" s="432"/>
      <c r="H672" s="432"/>
      <c r="I672" s="432"/>
      <c r="J672" s="433"/>
    </row>
    <row r="673" spans="1:10" x14ac:dyDescent="0.25">
      <c r="A673" s="431"/>
      <c r="B673" s="432"/>
      <c r="C673" s="432"/>
      <c r="D673" s="432"/>
      <c r="E673" s="432"/>
      <c r="F673" s="432"/>
      <c r="G673" s="432"/>
      <c r="H673" s="432"/>
      <c r="I673" s="432"/>
      <c r="J673" s="433"/>
    </row>
    <row r="674" spans="1:10" x14ac:dyDescent="0.25">
      <c r="A674" s="431"/>
      <c r="B674" s="432"/>
      <c r="C674" s="432"/>
      <c r="D674" s="432"/>
      <c r="E674" s="432"/>
      <c r="F674" s="432"/>
      <c r="G674" s="432"/>
      <c r="H674" s="432"/>
      <c r="I674" s="432"/>
      <c r="J674" s="433"/>
    </row>
    <row r="675" spans="1:10" x14ac:dyDescent="0.25">
      <c r="A675" s="431"/>
      <c r="B675" s="432"/>
      <c r="C675" s="432"/>
      <c r="D675" s="432"/>
      <c r="E675" s="432"/>
      <c r="F675" s="432"/>
      <c r="G675" s="432"/>
      <c r="H675" s="432"/>
      <c r="I675" s="432"/>
      <c r="J675" s="433"/>
    </row>
    <row r="676" spans="1:10" x14ac:dyDescent="0.25">
      <c r="A676" s="431"/>
      <c r="B676" s="432"/>
      <c r="C676" s="432"/>
      <c r="D676" s="432"/>
      <c r="E676" s="432"/>
      <c r="F676" s="432"/>
      <c r="G676" s="432"/>
      <c r="H676" s="432"/>
      <c r="I676" s="432"/>
      <c r="J676" s="433"/>
    </row>
    <row r="677" spans="1:10" x14ac:dyDescent="0.25">
      <c r="A677" s="431"/>
      <c r="B677" s="432"/>
      <c r="C677" s="432"/>
      <c r="D677" s="432"/>
      <c r="E677" s="432"/>
      <c r="F677" s="432"/>
      <c r="G677" s="432"/>
      <c r="H677" s="432"/>
      <c r="I677" s="432"/>
      <c r="J677" s="433"/>
    </row>
    <row r="678" spans="1:10" x14ac:dyDescent="0.25">
      <c r="A678" s="431"/>
      <c r="B678" s="432"/>
      <c r="C678" s="432"/>
      <c r="D678" s="432"/>
      <c r="E678" s="432"/>
      <c r="F678" s="432"/>
      <c r="G678" s="432"/>
      <c r="H678" s="432"/>
      <c r="I678" s="432"/>
      <c r="J678" s="433"/>
    </row>
    <row r="679" spans="1:10" x14ac:dyDescent="0.25">
      <c r="A679" s="431"/>
      <c r="B679" s="432"/>
      <c r="C679" s="432"/>
      <c r="D679" s="432"/>
      <c r="E679" s="432"/>
      <c r="F679" s="432"/>
      <c r="G679" s="432"/>
      <c r="H679" s="432"/>
      <c r="I679" s="432"/>
      <c r="J679" s="433"/>
    </row>
    <row r="680" spans="1:10" x14ac:dyDescent="0.25">
      <c r="A680" s="431"/>
      <c r="B680" s="432"/>
      <c r="C680" s="432"/>
      <c r="D680" s="432"/>
      <c r="E680" s="432"/>
      <c r="F680" s="432"/>
      <c r="G680" s="432"/>
      <c r="H680" s="432"/>
      <c r="I680" s="432"/>
      <c r="J680" s="433"/>
    </row>
    <row r="681" spans="1:10" x14ac:dyDescent="0.25">
      <c r="A681" s="431"/>
      <c r="B681" s="432"/>
      <c r="C681" s="432"/>
      <c r="D681" s="432"/>
      <c r="E681" s="432"/>
      <c r="F681" s="432"/>
      <c r="G681" s="432"/>
      <c r="H681" s="432"/>
      <c r="I681" s="432"/>
      <c r="J681" s="433"/>
    </row>
    <row r="682" spans="1:10" x14ac:dyDescent="0.25">
      <c r="A682" s="431"/>
      <c r="B682" s="432"/>
      <c r="C682" s="432"/>
      <c r="D682" s="432"/>
      <c r="E682" s="432"/>
      <c r="F682" s="432"/>
      <c r="G682" s="432"/>
      <c r="H682" s="432"/>
      <c r="I682" s="432"/>
      <c r="J682" s="433"/>
    </row>
    <row r="683" spans="1:10" x14ac:dyDescent="0.25">
      <c r="A683" s="431"/>
      <c r="B683" s="432"/>
      <c r="C683" s="432"/>
      <c r="D683" s="432"/>
      <c r="E683" s="432"/>
      <c r="F683" s="432"/>
      <c r="G683" s="432"/>
      <c r="H683" s="432"/>
      <c r="I683" s="432"/>
      <c r="J683" s="433"/>
    </row>
    <row r="684" spans="1:10" x14ac:dyDescent="0.25">
      <c r="A684" s="431"/>
      <c r="B684" s="432"/>
      <c r="C684" s="432"/>
      <c r="D684" s="432"/>
      <c r="E684" s="432"/>
      <c r="F684" s="432"/>
      <c r="G684" s="432"/>
      <c r="H684" s="432"/>
      <c r="I684" s="432"/>
      <c r="J684" s="433"/>
    </row>
    <row r="685" spans="1:10" x14ac:dyDescent="0.25">
      <c r="A685" s="431"/>
      <c r="B685" s="432"/>
      <c r="C685" s="432"/>
      <c r="D685" s="432"/>
      <c r="E685" s="432"/>
      <c r="F685" s="432"/>
      <c r="G685" s="432"/>
      <c r="H685" s="432"/>
      <c r="I685" s="432"/>
      <c r="J685" s="433"/>
    </row>
    <row r="686" spans="1:10" x14ac:dyDescent="0.25">
      <c r="A686" s="431"/>
      <c r="B686" s="432"/>
      <c r="C686" s="432"/>
      <c r="D686" s="432"/>
      <c r="E686" s="432"/>
      <c r="F686" s="432"/>
      <c r="G686" s="432"/>
      <c r="H686" s="432"/>
      <c r="I686" s="432"/>
      <c r="J686" s="433"/>
    </row>
    <row r="687" spans="1:10" x14ac:dyDescent="0.25">
      <c r="A687" s="431"/>
      <c r="B687" s="432"/>
      <c r="C687" s="432"/>
      <c r="D687" s="432"/>
      <c r="E687" s="432"/>
      <c r="F687" s="432"/>
      <c r="G687" s="432"/>
      <c r="H687" s="432"/>
      <c r="I687" s="432"/>
      <c r="J687" s="433"/>
    </row>
    <row r="688" spans="1:10" x14ac:dyDescent="0.25">
      <c r="A688" s="431"/>
      <c r="B688" s="432"/>
      <c r="C688" s="432"/>
      <c r="D688" s="432"/>
      <c r="E688" s="432"/>
      <c r="F688" s="432"/>
      <c r="G688" s="432"/>
      <c r="H688" s="432"/>
      <c r="I688" s="432"/>
      <c r="J688" s="433"/>
    </row>
    <row r="689" spans="1:10" x14ac:dyDescent="0.25">
      <c r="A689" s="431"/>
      <c r="B689" s="432"/>
      <c r="C689" s="432"/>
      <c r="D689" s="432"/>
      <c r="E689" s="432"/>
      <c r="F689" s="432"/>
      <c r="G689" s="432"/>
      <c r="H689" s="432"/>
      <c r="I689" s="432"/>
      <c r="J689" s="433"/>
    </row>
    <row r="690" spans="1:10" x14ac:dyDescent="0.25">
      <c r="A690" s="431"/>
      <c r="B690" s="432"/>
      <c r="C690" s="432"/>
      <c r="D690" s="432"/>
      <c r="E690" s="432"/>
      <c r="F690" s="432"/>
      <c r="G690" s="432"/>
      <c r="H690" s="432"/>
      <c r="I690" s="432"/>
      <c r="J690" s="433"/>
    </row>
    <row r="691" spans="1:10" x14ac:dyDescent="0.25">
      <c r="A691" s="431"/>
      <c r="B691" s="432"/>
      <c r="C691" s="432"/>
      <c r="D691" s="432"/>
      <c r="E691" s="432"/>
      <c r="F691" s="432"/>
      <c r="G691" s="432"/>
      <c r="H691" s="432"/>
      <c r="I691" s="432"/>
      <c r="J691" s="433"/>
    </row>
    <row r="692" spans="1:10" x14ac:dyDescent="0.25">
      <c r="A692" s="431"/>
      <c r="B692" s="432"/>
      <c r="C692" s="432"/>
      <c r="D692" s="432"/>
      <c r="E692" s="432"/>
      <c r="F692" s="432"/>
      <c r="G692" s="432"/>
      <c r="H692" s="432"/>
      <c r="I692" s="432"/>
      <c r="J692" s="433"/>
    </row>
    <row r="693" spans="1:10" x14ac:dyDescent="0.25">
      <c r="A693" s="434"/>
      <c r="B693" s="435"/>
      <c r="C693" s="435"/>
      <c r="D693" s="435"/>
      <c r="E693" s="435"/>
      <c r="F693" s="435"/>
      <c r="G693" s="435"/>
      <c r="H693" s="435"/>
      <c r="I693" s="435"/>
      <c r="J693" s="436"/>
    </row>
    <row r="695" spans="1:10" ht="14.25" customHeight="1" x14ac:dyDescent="0.3">
      <c r="A695" s="372" t="s">
        <v>76</v>
      </c>
      <c r="B695" s="373"/>
      <c r="C695" s="373"/>
      <c r="D695" s="373"/>
      <c r="E695" s="373"/>
      <c r="F695" s="373"/>
      <c r="G695" s="373"/>
      <c r="H695" s="370" t="str">
        <f>'CONTACT INFORMATION'!$A$24</f>
        <v>Ventura</v>
      </c>
      <c r="I695" s="370"/>
      <c r="J695" s="371"/>
    </row>
    <row r="696" spans="1:10" x14ac:dyDescent="0.25">
      <c r="A696" s="152"/>
      <c r="B696" s="152"/>
      <c r="C696" s="152"/>
      <c r="D696" s="152"/>
      <c r="E696" s="152"/>
      <c r="F696" s="152"/>
      <c r="G696" s="152"/>
      <c r="H696" s="152"/>
      <c r="I696" s="152"/>
      <c r="J696" s="152"/>
    </row>
    <row r="697" spans="1:10" ht="13.8" x14ac:dyDescent="0.25">
      <c r="A697" s="460" t="s">
        <v>197</v>
      </c>
      <c r="B697" s="461"/>
      <c r="C697" s="461"/>
      <c r="D697" s="461"/>
      <c r="E697" s="461"/>
      <c r="F697" s="461"/>
      <c r="G697" s="461"/>
      <c r="H697" s="461"/>
      <c r="I697" s="461"/>
      <c r="J697" s="462"/>
    </row>
    <row r="698" spans="1:10" x14ac:dyDescent="0.25">
      <c r="A698" s="463" t="s">
        <v>151</v>
      </c>
      <c r="B698" s="464"/>
      <c r="C698" s="464"/>
      <c r="D698" s="465"/>
      <c r="E698" s="466" t="s">
        <v>198</v>
      </c>
      <c r="F698" s="467"/>
      <c r="G698" s="467"/>
      <c r="H698" s="467"/>
      <c r="I698" s="467"/>
      <c r="J698" s="468"/>
    </row>
    <row r="699" spans="1:10" x14ac:dyDescent="0.25">
      <c r="A699" s="472" t="s">
        <v>181</v>
      </c>
      <c r="B699" s="473"/>
      <c r="C699" s="473"/>
      <c r="D699" s="474"/>
      <c r="E699" s="469"/>
      <c r="F699" s="470"/>
      <c r="G699" s="470"/>
      <c r="H699" s="470"/>
      <c r="I699" s="470"/>
      <c r="J699" s="471"/>
    </row>
    <row r="700" spans="1:10" ht="27" customHeight="1" x14ac:dyDescent="0.25">
      <c r="A700" s="475" t="s">
        <v>182</v>
      </c>
      <c r="B700" s="476"/>
      <c r="C700" s="476"/>
      <c r="D700" s="477"/>
      <c r="E700" s="485" t="s">
        <v>104</v>
      </c>
      <c r="F700" s="486"/>
      <c r="G700" s="486"/>
      <c r="H700" s="486"/>
      <c r="I700" s="486"/>
      <c r="J700" s="487"/>
    </row>
    <row r="701" spans="1:10" x14ac:dyDescent="0.25">
      <c r="A701" s="146"/>
      <c r="B701" s="220"/>
      <c r="C701" s="220"/>
      <c r="D701" s="220"/>
      <c r="E701" s="481" t="s">
        <v>155</v>
      </c>
      <c r="F701" s="482"/>
      <c r="G701" s="481" t="s">
        <v>156</v>
      </c>
      <c r="H701" s="482"/>
      <c r="I701" s="483" t="s">
        <v>157</v>
      </c>
      <c r="J701" s="484"/>
    </row>
    <row r="702" spans="1:10" x14ac:dyDescent="0.25">
      <c r="A702" s="449" t="s">
        <v>158</v>
      </c>
      <c r="B702" s="450"/>
      <c r="C702" s="450"/>
      <c r="D702" s="451"/>
      <c r="E702" s="458"/>
      <c r="F702" s="458"/>
      <c r="G702" s="458">
        <v>287215</v>
      </c>
      <c r="H702" s="458"/>
      <c r="I702" s="459"/>
      <c r="J702" s="459"/>
    </row>
    <row r="703" spans="1:10" x14ac:dyDescent="0.25">
      <c r="A703" s="454" t="s">
        <v>159</v>
      </c>
      <c r="B703" s="455"/>
      <c r="C703" s="455"/>
      <c r="D703" s="456"/>
      <c r="E703" s="440"/>
      <c r="F703" s="440"/>
      <c r="G703" s="441">
        <v>38262</v>
      </c>
      <c r="H703" s="441"/>
      <c r="I703" s="457"/>
      <c r="J703" s="457"/>
    </row>
    <row r="704" spans="1:10" x14ac:dyDescent="0.25">
      <c r="A704" s="449" t="s">
        <v>160</v>
      </c>
      <c r="B704" s="450"/>
      <c r="C704" s="450"/>
      <c r="D704" s="451"/>
      <c r="E704" s="458"/>
      <c r="F704" s="458"/>
      <c r="G704" s="458">
        <v>37115</v>
      </c>
      <c r="H704" s="458"/>
      <c r="I704" s="459"/>
      <c r="J704" s="459"/>
    </row>
    <row r="705" spans="1:10" x14ac:dyDescent="0.25">
      <c r="A705" s="454" t="s">
        <v>161</v>
      </c>
      <c r="B705" s="455"/>
      <c r="C705" s="455"/>
      <c r="D705" s="456"/>
      <c r="E705" s="440"/>
      <c r="F705" s="440"/>
      <c r="G705" s="441"/>
      <c r="H705" s="441"/>
      <c r="I705" s="457"/>
      <c r="J705" s="457"/>
    </row>
    <row r="706" spans="1:10" x14ac:dyDescent="0.25">
      <c r="A706" s="449" t="s">
        <v>162</v>
      </c>
      <c r="B706" s="450"/>
      <c r="C706" s="450"/>
      <c r="D706" s="451"/>
      <c r="E706" s="458"/>
      <c r="F706" s="458"/>
      <c r="G706" s="458"/>
      <c r="H706" s="458"/>
      <c r="I706" s="459"/>
      <c r="J706" s="459"/>
    </row>
    <row r="707" spans="1:10" x14ac:dyDescent="0.25">
      <c r="A707" s="454" t="s">
        <v>163</v>
      </c>
      <c r="B707" s="455"/>
      <c r="C707" s="455"/>
      <c r="D707" s="456"/>
      <c r="E707" s="440"/>
      <c r="F707" s="440"/>
      <c r="G707" s="441">
        <v>36259</v>
      </c>
      <c r="H707" s="441"/>
      <c r="I707" s="457"/>
      <c r="J707" s="457"/>
    </row>
    <row r="708" spans="1:10" x14ac:dyDescent="0.25">
      <c r="A708" s="449" t="s">
        <v>164</v>
      </c>
      <c r="B708" s="450"/>
      <c r="C708" s="450"/>
      <c r="D708" s="451"/>
      <c r="E708" s="452"/>
      <c r="F708" s="452"/>
      <c r="G708" s="452"/>
      <c r="H708" s="452"/>
      <c r="I708" s="453"/>
      <c r="J708" s="453"/>
    </row>
    <row r="709" spans="1:10" x14ac:dyDescent="0.25">
      <c r="A709" s="437"/>
      <c r="B709" s="438"/>
      <c r="C709" s="438"/>
      <c r="D709" s="439"/>
      <c r="E709" s="440"/>
      <c r="F709" s="440"/>
      <c r="G709" s="441"/>
      <c r="H709" s="441"/>
      <c r="I709" s="441"/>
      <c r="J709" s="441"/>
    </row>
    <row r="710" spans="1:10" x14ac:dyDescent="0.25">
      <c r="A710" s="437"/>
      <c r="B710" s="438"/>
      <c r="C710" s="438"/>
      <c r="D710" s="439"/>
      <c r="E710" s="440"/>
      <c r="F710" s="440"/>
      <c r="G710" s="441"/>
      <c r="H710" s="441"/>
      <c r="I710" s="441"/>
      <c r="J710" s="441"/>
    </row>
    <row r="711" spans="1:10" x14ac:dyDescent="0.25">
      <c r="A711" s="437"/>
      <c r="B711" s="438"/>
      <c r="C711" s="438"/>
      <c r="D711" s="439"/>
      <c r="E711" s="440"/>
      <c r="F711" s="440"/>
      <c r="G711" s="441"/>
      <c r="H711" s="441"/>
      <c r="I711" s="441"/>
      <c r="J711" s="441"/>
    </row>
    <row r="712" spans="1:10" x14ac:dyDescent="0.25">
      <c r="A712" s="442" t="s">
        <v>165</v>
      </c>
      <c r="B712" s="443"/>
      <c r="C712" s="443"/>
      <c r="D712" s="444"/>
      <c r="E712" s="445">
        <f>SUM(E702:E711)</f>
        <v>0</v>
      </c>
      <c r="F712" s="445"/>
      <c r="G712" s="445">
        <f>SUM(G702:G711)</f>
        <v>398851</v>
      </c>
      <c r="H712" s="445"/>
      <c r="I712" s="445">
        <f>SUM(I702:I711)</f>
        <v>0</v>
      </c>
      <c r="J712" s="445"/>
    </row>
    <row r="713" spans="1:10" x14ac:dyDescent="0.25">
      <c r="A713" s="446" t="s">
        <v>166</v>
      </c>
      <c r="B713" s="447"/>
      <c r="C713" s="447"/>
      <c r="D713" s="447"/>
      <c r="E713" s="447"/>
      <c r="F713" s="447"/>
      <c r="G713" s="447"/>
      <c r="H713" s="447"/>
      <c r="I713" s="447"/>
      <c r="J713" s="448"/>
    </row>
    <row r="714" spans="1:10" x14ac:dyDescent="0.25">
      <c r="A714" s="423" t="s">
        <v>167</v>
      </c>
      <c r="B714" s="424"/>
      <c r="C714" s="424"/>
      <c r="D714" s="424"/>
      <c r="E714" s="424"/>
      <c r="F714" s="424"/>
      <c r="G714" s="424"/>
      <c r="H714" s="424"/>
      <c r="I714" s="424"/>
      <c r="J714" s="425"/>
    </row>
    <row r="715" spans="1:10" x14ac:dyDescent="0.25">
      <c r="A715" s="423" t="s">
        <v>168</v>
      </c>
      <c r="B715" s="424"/>
      <c r="C715" s="424"/>
      <c r="D715" s="424"/>
      <c r="E715" s="424"/>
      <c r="F715" s="424"/>
      <c r="G715" s="424"/>
      <c r="H715" s="424"/>
      <c r="I715" s="424"/>
      <c r="J715" s="425"/>
    </row>
    <row r="716" spans="1:10" x14ac:dyDescent="0.25">
      <c r="A716" s="426" t="s">
        <v>169</v>
      </c>
      <c r="B716" s="427"/>
      <c r="C716" s="427"/>
      <c r="D716" s="427"/>
      <c r="E716" s="427"/>
      <c r="F716" s="427"/>
      <c r="G716" s="427"/>
      <c r="H716" s="427"/>
      <c r="I716" s="427"/>
      <c r="J716" s="428"/>
    </row>
    <row r="717" spans="1:10" x14ac:dyDescent="0.25">
      <c r="A717" s="316" t="s">
        <v>959</v>
      </c>
      <c r="B717" s="429"/>
      <c r="C717" s="429"/>
      <c r="D717" s="429"/>
      <c r="E717" s="429"/>
      <c r="F717" s="429"/>
      <c r="G717" s="429"/>
      <c r="H717" s="429"/>
      <c r="I717" s="429"/>
      <c r="J717" s="430"/>
    </row>
    <row r="718" spans="1:10" x14ac:dyDescent="0.25">
      <c r="A718" s="431"/>
      <c r="B718" s="432"/>
      <c r="C718" s="432"/>
      <c r="D718" s="432"/>
      <c r="E718" s="432"/>
      <c r="F718" s="432"/>
      <c r="G718" s="432"/>
      <c r="H718" s="432"/>
      <c r="I718" s="432"/>
      <c r="J718" s="433"/>
    </row>
    <row r="719" spans="1:10" x14ac:dyDescent="0.25">
      <c r="A719" s="431"/>
      <c r="B719" s="432"/>
      <c r="C719" s="432"/>
      <c r="D719" s="432"/>
      <c r="E719" s="432"/>
      <c r="F719" s="432"/>
      <c r="G719" s="432"/>
      <c r="H719" s="432"/>
      <c r="I719" s="432"/>
      <c r="J719" s="433"/>
    </row>
    <row r="720" spans="1:10" x14ac:dyDescent="0.25">
      <c r="A720" s="431"/>
      <c r="B720" s="432"/>
      <c r="C720" s="432"/>
      <c r="D720" s="432"/>
      <c r="E720" s="432"/>
      <c r="F720" s="432"/>
      <c r="G720" s="432"/>
      <c r="H720" s="432"/>
      <c r="I720" s="432"/>
      <c r="J720" s="433"/>
    </row>
    <row r="721" spans="1:10" x14ac:dyDescent="0.25">
      <c r="A721" s="431"/>
      <c r="B721" s="432"/>
      <c r="C721" s="432"/>
      <c r="D721" s="432"/>
      <c r="E721" s="432"/>
      <c r="F721" s="432"/>
      <c r="G721" s="432"/>
      <c r="H721" s="432"/>
      <c r="I721" s="432"/>
      <c r="J721" s="433"/>
    </row>
    <row r="722" spans="1:10" x14ac:dyDescent="0.25">
      <c r="A722" s="431"/>
      <c r="B722" s="432"/>
      <c r="C722" s="432"/>
      <c r="D722" s="432"/>
      <c r="E722" s="432"/>
      <c r="F722" s="432"/>
      <c r="G722" s="432"/>
      <c r="H722" s="432"/>
      <c r="I722" s="432"/>
      <c r="J722" s="433"/>
    </row>
    <row r="723" spans="1:10" x14ac:dyDescent="0.25">
      <c r="A723" s="431"/>
      <c r="B723" s="432"/>
      <c r="C723" s="432"/>
      <c r="D723" s="432"/>
      <c r="E723" s="432"/>
      <c r="F723" s="432"/>
      <c r="G723" s="432"/>
      <c r="H723" s="432"/>
      <c r="I723" s="432"/>
      <c r="J723" s="433"/>
    </row>
    <row r="724" spans="1:10" x14ac:dyDescent="0.25">
      <c r="A724" s="431"/>
      <c r="B724" s="432"/>
      <c r="C724" s="432"/>
      <c r="D724" s="432"/>
      <c r="E724" s="432"/>
      <c r="F724" s="432"/>
      <c r="G724" s="432"/>
      <c r="H724" s="432"/>
      <c r="I724" s="432"/>
      <c r="J724" s="433"/>
    </row>
    <row r="725" spans="1:10" x14ac:dyDescent="0.25">
      <c r="A725" s="431"/>
      <c r="B725" s="432"/>
      <c r="C725" s="432"/>
      <c r="D725" s="432"/>
      <c r="E725" s="432"/>
      <c r="F725" s="432"/>
      <c r="G725" s="432"/>
      <c r="H725" s="432"/>
      <c r="I725" s="432"/>
      <c r="J725" s="433"/>
    </row>
    <row r="726" spans="1:10" x14ac:dyDescent="0.25">
      <c r="A726" s="431"/>
      <c r="B726" s="432"/>
      <c r="C726" s="432"/>
      <c r="D726" s="432"/>
      <c r="E726" s="432"/>
      <c r="F726" s="432"/>
      <c r="G726" s="432"/>
      <c r="H726" s="432"/>
      <c r="I726" s="432"/>
      <c r="J726" s="433"/>
    </row>
    <row r="727" spans="1:10" x14ac:dyDescent="0.25">
      <c r="A727" s="431"/>
      <c r="B727" s="432"/>
      <c r="C727" s="432"/>
      <c r="D727" s="432"/>
      <c r="E727" s="432"/>
      <c r="F727" s="432"/>
      <c r="G727" s="432"/>
      <c r="H727" s="432"/>
      <c r="I727" s="432"/>
      <c r="J727" s="433"/>
    </row>
    <row r="728" spans="1:10" x14ac:dyDescent="0.25">
      <c r="A728" s="431"/>
      <c r="B728" s="432"/>
      <c r="C728" s="432"/>
      <c r="D728" s="432"/>
      <c r="E728" s="432"/>
      <c r="F728" s="432"/>
      <c r="G728" s="432"/>
      <c r="H728" s="432"/>
      <c r="I728" s="432"/>
      <c r="J728" s="433"/>
    </row>
    <row r="729" spans="1:10" x14ac:dyDescent="0.25">
      <c r="A729" s="431"/>
      <c r="B729" s="432"/>
      <c r="C729" s="432"/>
      <c r="D729" s="432"/>
      <c r="E729" s="432"/>
      <c r="F729" s="432"/>
      <c r="G729" s="432"/>
      <c r="H729" s="432"/>
      <c r="I729" s="432"/>
      <c r="J729" s="433"/>
    </row>
    <row r="730" spans="1:10" x14ac:dyDescent="0.25">
      <c r="A730" s="431"/>
      <c r="B730" s="432"/>
      <c r="C730" s="432"/>
      <c r="D730" s="432"/>
      <c r="E730" s="432"/>
      <c r="F730" s="432"/>
      <c r="G730" s="432"/>
      <c r="H730" s="432"/>
      <c r="I730" s="432"/>
      <c r="J730" s="433"/>
    </row>
    <row r="731" spans="1:10" x14ac:dyDescent="0.25">
      <c r="A731" s="431"/>
      <c r="B731" s="432"/>
      <c r="C731" s="432"/>
      <c r="D731" s="432"/>
      <c r="E731" s="432"/>
      <c r="F731" s="432"/>
      <c r="G731" s="432"/>
      <c r="H731" s="432"/>
      <c r="I731" s="432"/>
      <c r="J731" s="433"/>
    </row>
    <row r="732" spans="1:10" x14ac:dyDescent="0.25">
      <c r="A732" s="431"/>
      <c r="B732" s="432"/>
      <c r="C732" s="432"/>
      <c r="D732" s="432"/>
      <c r="E732" s="432"/>
      <c r="F732" s="432"/>
      <c r="G732" s="432"/>
      <c r="H732" s="432"/>
      <c r="I732" s="432"/>
      <c r="J732" s="433"/>
    </row>
    <row r="733" spans="1:10" x14ac:dyDescent="0.25">
      <c r="A733" s="431"/>
      <c r="B733" s="432"/>
      <c r="C733" s="432"/>
      <c r="D733" s="432"/>
      <c r="E733" s="432"/>
      <c r="F733" s="432"/>
      <c r="G733" s="432"/>
      <c r="H733" s="432"/>
      <c r="I733" s="432"/>
      <c r="J733" s="433"/>
    </row>
    <row r="734" spans="1:10" x14ac:dyDescent="0.25">
      <c r="A734" s="431"/>
      <c r="B734" s="432"/>
      <c r="C734" s="432"/>
      <c r="D734" s="432"/>
      <c r="E734" s="432"/>
      <c r="F734" s="432"/>
      <c r="G734" s="432"/>
      <c r="H734" s="432"/>
      <c r="I734" s="432"/>
      <c r="J734" s="433"/>
    </row>
    <row r="735" spans="1:10" x14ac:dyDescent="0.25">
      <c r="A735" s="431"/>
      <c r="B735" s="432"/>
      <c r="C735" s="432"/>
      <c r="D735" s="432"/>
      <c r="E735" s="432"/>
      <c r="F735" s="432"/>
      <c r="G735" s="432"/>
      <c r="H735" s="432"/>
      <c r="I735" s="432"/>
      <c r="J735" s="433"/>
    </row>
    <row r="736" spans="1:10" x14ac:dyDescent="0.25">
      <c r="A736" s="431"/>
      <c r="B736" s="432"/>
      <c r="C736" s="432"/>
      <c r="D736" s="432"/>
      <c r="E736" s="432"/>
      <c r="F736" s="432"/>
      <c r="G736" s="432"/>
      <c r="H736" s="432"/>
      <c r="I736" s="432"/>
      <c r="J736" s="433"/>
    </row>
    <row r="737" spans="1:10" x14ac:dyDescent="0.25">
      <c r="A737" s="431"/>
      <c r="B737" s="432"/>
      <c r="C737" s="432"/>
      <c r="D737" s="432"/>
      <c r="E737" s="432"/>
      <c r="F737" s="432"/>
      <c r="G737" s="432"/>
      <c r="H737" s="432"/>
      <c r="I737" s="432"/>
      <c r="J737" s="433"/>
    </row>
    <row r="738" spans="1:10" x14ac:dyDescent="0.25">
      <c r="A738" s="431"/>
      <c r="B738" s="432"/>
      <c r="C738" s="432"/>
      <c r="D738" s="432"/>
      <c r="E738" s="432"/>
      <c r="F738" s="432"/>
      <c r="G738" s="432"/>
      <c r="H738" s="432"/>
      <c r="I738" s="432"/>
      <c r="J738" s="433"/>
    </row>
    <row r="739" spans="1:10" x14ac:dyDescent="0.25">
      <c r="A739" s="431"/>
      <c r="B739" s="432"/>
      <c r="C739" s="432"/>
      <c r="D739" s="432"/>
      <c r="E739" s="432"/>
      <c r="F739" s="432"/>
      <c r="G739" s="432"/>
      <c r="H739" s="432"/>
      <c r="I739" s="432"/>
      <c r="J739" s="433"/>
    </row>
    <row r="740" spans="1:10" x14ac:dyDescent="0.25">
      <c r="A740" s="431"/>
      <c r="B740" s="432"/>
      <c r="C740" s="432"/>
      <c r="D740" s="432"/>
      <c r="E740" s="432"/>
      <c r="F740" s="432"/>
      <c r="G740" s="432"/>
      <c r="H740" s="432"/>
      <c r="I740" s="432"/>
      <c r="J740" s="433"/>
    </row>
    <row r="741" spans="1:10" x14ac:dyDescent="0.25">
      <c r="A741" s="431"/>
      <c r="B741" s="432"/>
      <c r="C741" s="432"/>
      <c r="D741" s="432"/>
      <c r="E741" s="432"/>
      <c r="F741" s="432"/>
      <c r="G741" s="432"/>
      <c r="H741" s="432"/>
      <c r="I741" s="432"/>
      <c r="J741" s="433"/>
    </row>
    <row r="742" spans="1:10" x14ac:dyDescent="0.25">
      <c r="A742" s="431"/>
      <c r="B742" s="432"/>
      <c r="C742" s="432"/>
      <c r="D742" s="432"/>
      <c r="E742" s="432"/>
      <c r="F742" s="432"/>
      <c r="G742" s="432"/>
      <c r="H742" s="432"/>
      <c r="I742" s="432"/>
      <c r="J742" s="433"/>
    </row>
    <row r="743" spans="1:10" x14ac:dyDescent="0.25">
      <c r="A743" s="431"/>
      <c r="B743" s="432"/>
      <c r="C743" s="432"/>
      <c r="D743" s="432"/>
      <c r="E743" s="432"/>
      <c r="F743" s="432"/>
      <c r="G743" s="432"/>
      <c r="H743" s="432"/>
      <c r="I743" s="432"/>
      <c r="J743" s="433"/>
    </row>
    <row r="744" spans="1:10" x14ac:dyDescent="0.25">
      <c r="A744" s="431"/>
      <c r="B744" s="432"/>
      <c r="C744" s="432"/>
      <c r="D744" s="432"/>
      <c r="E744" s="432"/>
      <c r="F744" s="432"/>
      <c r="G744" s="432"/>
      <c r="H744" s="432"/>
      <c r="I744" s="432"/>
      <c r="J744" s="433"/>
    </row>
    <row r="745" spans="1:10" x14ac:dyDescent="0.25">
      <c r="A745" s="431"/>
      <c r="B745" s="432"/>
      <c r="C745" s="432"/>
      <c r="D745" s="432"/>
      <c r="E745" s="432"/>
      <c r="F745" s="432"/>
      <c r="G745" s="432"/>
      <c r="H745" s="432"/>
      <c r="I745" s="432"/>
      <c r="J745" s="433"/>
    </row>
    <row r="746" spans="1:10" x14ac:dyDescent="0.25">
      <c r="A746" s="431"/>
      <c r="B746" s="432"/>
      <c r="C746" s="432"/>
      <c r="D746" s="432"/>
      <c r="E746" s="432"/>
      <c r="F746" s="432"/>
      <c r="G746" s="432"/>
      <c r="H746" s="432"/>
      <c r="I746" s="432"/>
      <c r="J746" s="433"/>
    </row>
    <row r="747" spans="1:10" x14ac:dyDescent="0.25">
      <c r="A747" s="431"/>
      <c r="B747" s="432"/>
      <c r="C747" s="432"/>
      <c r="D747" s="432"/>
      <c r="E747" s="432"/>
      <c r="F747" s="432"/>
      <c r="G747" s="432"/>
      <c r="H747" s="432"/>
      <c r="I747" s="432"/>
      <c r="J747" s="433"/>
    </row>
    <row r="748" spans="1:10" x14ac:dyDescent="0.25">
      <c r="A748" s="431"/>
      <c r="B748" s="432"/>
      <c r="C748" s="432"/>
      <c r="D748" s="432"/>
      <c r="E748" s="432"/>
      <c r="F748" s="432"/>
      <c r="G748" s="432"/>
      <c r="H748" s="432"/>
      <c r="I748" s="432"/>
      <c r="J748" s="433"/>
    </row>
    <row r="749" spans="1:10" x14ac:dyDescent="0.25">
      <c r="A749" s="431"/>
      <c r="B749" s="432"/>
      <c r="C749" s="432"/>
      <c r="D749" s="432"/>
      <c r="E749" s="432"/>
      <c r="F749" s="432"/>
      <c r="G749" s="432"/>
      <c r="H749" s="432"/>
      <c r="I749" s="432"/>
      <c r="J749" s="433"/>
    </row>
    <row r="750" spans="1:10" x14ac:dyDescent="0.25">
      <c r="A750" s="431"/>
      <c r="B750" s="432"/>
      <c r="C750" s="432"/>
      <c r="D750" s="432"/>
      <c r="E750" s="432"/>
      <c r="F750" s="432"/>
      <c r="G750" s="432"/>
      <c r="H750" s="432"/>
      <c r="I750" s="432"/>
      <c r="J750" s="433"/>
    </row>
    <row r="751" spans="1:10" x14ac:dyDescent="0.25">
      <c r="A751" s="434"/>
      <c r="B751" s="435"/>
      <c r="C751" s="435"/>
      <c r="D751" s="435"/>
      <c r="E751" s="435"/>
      <c r="F751" s="435"/>
      <c r="G751" s="435"/>
      <c r="H751" s="435"/>
      <c r="I751" s="435"/>
      <c r="J751" s="436"/>
    </row>
    <row r="753" spans="1:10" ht="8.1" customHeight="1" x14ac:dyDescent="0.3">
      <c r="A753" s="372" t="s">
        <v>76</v>
      </c>
      <c r="B753" s="373"/>
      <c r="C753" s="373"/>
      <c r="D753" s="373"/>
      <c r="E753" s="373"/>
      <c r="F753" s="373"/>
      <c r="G753" s="373"/>
      <c r="H753" s="370" t="str">
        <f>'CONTACT INFORMATION'!$A$24</f>
        <v>Ventura</v>
      </c>
      <c r="I753" s="370"/>
      <c r="J753" s="371"/>
    </row>
    <row r="754" spans="1:10" x14ac:dyDescent="0.25">
      <c r="A754" s="152"/>
      <c r="B754" s="152"/>
      <c r="C754" s="152"/>
      <c r="D754" s="152"/>
      <c r="E754" s="152"/>
      <c r="F754" s="152"/>
      <c r="G754" s="152"/>
      <c r="H754" s="152"/>
      <c r="I754" s="152"/>
      <c r="J754" s="152"/>
    </row>
    <row r="755" spans="1:10" ht="13.8" x14ac:dyDescent="0.25">
      <c r="A755" s="460" t="s">
        <v>199</v>
      </c>
      <c r="B755" s="461"/>
      <c r="C755" s="461"/>
      <c r="D755" s="461"/>
      <c r="E755" s="461"/>
      <c r="F755" s="461"/>
      <c r="G755" s="461"/>
      <c r="H755" s="461"/>
      <c r="I755" s="461"/>
      <c r="J755" s="462"/>
    </row>
    <row r="756" spans="1:10" x14ac:dyDescent="0.25">
      <c r="A756" s="463" t="s">
        <v>151</v>
      </c>
      <c r="B756" s="464"/>
      <c r="C756" s="464"/>
      <c r="D756" s="465"/>
      <c r="E756" s="466"/>
      <c r="F756" s="467"/>
      <c r="G756" s="467"/>
      <c r="H756" s="467"/>
      <c r="I756" s="467"/>
      <c r="J756" s="468"/>
    </row>
    <row r="757" spans="1:10" x14ac:dyDescent="0.25">
      <c r="A757" s="472" t="s">
        <v>181</v>
      </c>
      <c r="B757" s="473"/>
      <c r="C757" s="473"/>
      <c r="D757" s="474"/>
      <c r="E757" s="469"/>
      <c r="F757" s="470"/>
      <c r="G757" s="470"/>
      <c r="H757" s="470"/>
      <c r="I757" s="470"/>
      <c r="J757" s="471"/>
    </row>
    <row r="758" spans="1:10" ht="27" customHeight="1" x14ac:dyDescent="0.25">
      <c r="A758" s="475" t="s">
        <v>182</v>
      </c>
      <c r="B758" s="476"/>
      <c r="C758" s="476"/>
      <c r="D758" s="477"/>
      <c r="E758" s="478"/>
      <c r="F758" s="479"/>
      <c r="G758" s="479"/>
      <c r="H758" s="479"/>
      <c r="I758" s="479"/>
      <c r="J758" s="480"/>
    </row>
    <row r="759" spans="1:10" x14ac:dyDescent="0.25">
      <c r="A759" s="146"/>
      <c r="B759" s="220"/>
      <c r="C759" s="220"/>
      <c r="D759" s="220"/>
      <c r="E759" s="481" t="s">
        <v>155</v>
      </c>
      <c r="F759" s="482"/>
      <c r="G759" s="481" t="s">
        <v>156</v>
      </c>
      <c r="H759" s="482"/>
      <c r="I759" s="483" t="s">
        <v>157</v>
      </c>
      <c r="J759" s="484"/>
    </row>
    <row r="760" spans="1:10" x14ac:dyDescent="0.25">
      <c r="A760" s="449" t="s">
        <v>158</v>
      </c>
      <c r="B760" s="450"/>
      <c r="C760" s="450"/>
      <c r="D760" s="451"/>
      <c r="E760" s="458"/>
      <c r="F760" s="458"/>
      <c r="G760" s="458"/>
      <c r="H760" s="458"/>
      <c r="I760" s="459"/>
      <c r="J760" s="459"/>
    </row>
    <row r="761" spans="1:10" x14ac:dyDescent="0.25">
      <c r="A761" s="454" t="s">
        <v>159</v>
      </c>
      <c r="B761" s="455"/>
      <c r="C761" s="455"/>
      <c r="D761" s="456"/>
      <c r="E761" s="440"/>
      <c r="F761" s="440"/>
      <c r="G761" s="441"/>
      <c r="H761" s="441"/>
      <c r="I761" s="457"/>
      <c r="J761" s="457"/>
    </row>
    <row r="762" spans="1:10" x14ac:dyDescent="0.25">
      <c r="A762" s="449" t="s">
        <v>160</v>
      </c>
      <c r="B762" s="450"/>
      <c r="C762" s="450"/>
      <c r="D762" s="451"/>
      <c r="E762" s="458"/>
      <c r="F762" s="458"/>
      <c r="G762" s="458"/>
      <c r="H762" s="458"/>
      <c r="I762" s="459"/>
      <c r="J762" s="459"/>
    </row>
    <row r="763" spans="1:10" x14ac:dyDescent="0.25">
      <c r="A763" s="454" t="s">
        <v>161</v>
      </c>
      <c r="B763" s="455"/>
      <c r="C763" s="455"/>
      <c r="D763" s="456"/>
      <c r="E763" s="440"/>
      <c r="F763" s="440"/>
      <c r="G763" s="441"/>
      <c r="H763" s="441"/>
      <c r="I763" s="457"/>
      <c r="J763" s="457"/>
    </row>
    <row r="764" spans="1:10" x14ac:dyDescent="0.25">
      <c r="A764" s="449" t="s">
        <v>162</v>
      </c>
      <c r="B764" s="450"/>
      <c r="C764" s="450"/>
      <c r="D764" s="451"/>
      <c r="E764" s="458"/>
      <c r="F764" s="458"/>
      <c r="G764" s="458"/>
      <c r="H764" s="458"/>
      <c r="I764" s="459"/>
      <c r="J764" s="459"/>
    </row>
    <row r="765" spans="1:10" x14ac:dyDescent="0.25">
      <c r="A765" s="454" t="s">
        <v>163</v>
      </c>
      <c r="B765" s="455"/>
      <c r="C765" s="455"/>
      <c r="D765" s="456"/>
      <c r="E765" s="440"/>
      <c r="F765" s="440"/>
      <c r="G765" s="441"/>
      <c r="H765" s="441"/>
      <c r="I765" s="457"/>
      <c r="J765" s="457"/>
    </row>
    <row r="766" spans="1:10" x14ac:dyDescent="0.25">
      <c r="A766" s="449" t="s">
        <v>164</v>
      </c>
      <c r="B766" s="450"/>
      <c r="C766" s="450"/>
      <c r="D766" s="451"/>
      <c r="E766" s="452"/>
      <c r="F766" s="452"/>
      <c r="G766" s="452"/>
      <c r="H766" s="452"/>
      <c r="I766" s="453"/>
      <c r="J766" s="453"/>
    </row>
    <row r="767" spans="1:10" x14ac:dyDescent="0.25">
      <c r="A767" s="437"/>
      <c r="B767" s="438"/>
      <c r="C767" s="438"/>
      <c r="D767" s="439"/>
      <c r="E767" s="440"/>
      <c r="F767" s="440"/>
      <c r="G767" s="441"/>
      <c r="H767" s="441"/>
      <c r="I767" s="441"/>
      <c r="J767" s="441"/>
    </row>
    <row r="768" spans="1:10" x14ac:dyDescent="0.25">
      <c r="A768" s="437"/>
      <c r="B768" s="438"/>
      <c r="C768" s="438"/>
      <c r="D768" s="439"/>
      <c r="E768" s="440"/>
      <c r="F768" s="440"/>
      <c r="G768" s="441"/>
      <c r="H768" s="441"/>
      <c r="I768" s="441"/>
      <c r="J768" s="441"/>
    </row>
    <row r="769" spans="1:10" x14ac:dyDescent="0.25">
      <c r="A769" s="437"/>
      <c r="B769" s="438"/>
      <c r="C769" s="438"/>
      <c r="D769" s="439"/>
      <c r="E769" s="440"/>
      <c r="F769" s="440"/>
      <c r="G769" s="441"/>
      <c r="H769" s="441"/>
      <c r="I769" s="441"/>
      <c r="J769" s="441"/>
    </row>
    <row r="770" spans="1:10" x14ac:dyDescent="0.25">
      <c r="A770" s="442" t="s">
        <v>165</v>
      </c>
      <c r="B770" s="443"/>
      <c r="C770" s="443"/>
      <c r="D770" s="444"/>
      <c r="E770" s="445">
        <f>SUM(E760:E769)</f>
        <v>0</v>
      </c>
      <c r="F770" s="445"/>
      <c r="G770" s="445">
        <f>SUM(G760:G769)</f>
        <v>0</v>
      </c>
      <c r="H770" s="445"/>
      <c r="I770" s="445">
        <f>SUM(I760:I769)</f>
        <v>0</v>
      </c>
      <c r="J770" s="445"/>
    </row>
    <row r="771" spans="1:10" x14ac:dyDescent="0.25">
      <c r="A771" s="446" t="s">
        <v>166</v>
      </c>
      <c r="B771" s="447"/>
      <c r="C771" s="447"/>
      <c r="D771" s="447"/>
      <c r="E771" s="447"/>
      <c r="F771" s="447"/>
      <c r="G771" s="447"/>
      <c r="H771" s="447"/>
      <c r="I771" s="447"/>
      <c r="J771" s="448"/>
    </row>
    <row r="772" spans="1:10" x14ac:dyDescent="0.25">
      <c r="A772" s="423" t="s">
        <v>167</v>
      </c>
      <c r="B772" s="424"/>
      <c r="C772" s="424"/>
      <c r="D772" s="424"/>
      <c r="E772" s="424"/>
      <c r="F772" s="424"/>
      <c r="G772" s="424"/>
      <c r="H772" s="424"/>
      <c r="I772" s="424"/>
      <c r="J772" s="425"/>
    </row>
    <row r="773" spans="1:10" x14ac:dyDescent="0.25">
      <c r="A773" s="423" t="s">
        <v>168</v>
      </c>
      <c r="B773" s="424"/>
      <c r="C773" s="424"/>
      <c r="D773" s="424"/>
      <c r="E773" s="424"/>
      <c r="F773" s="424"/>
      <c r="G773" s="424"/>
      <c r="H773" s="424"/>
      <c r="I773" s="424"/>
      <c r="J773" s="425"/>
    </row>
    <row r="774" spans="1:10" x14ac:dyDescent="0.25">
      <c r="A774" s="426" t="s">
        <v>169</v>
      </c>
      <c r="B774" s="427"/>
      <c r="C774" s="427"/>
      <c r="D774" s="427"/>
      <c r="E774" s="427"/>
      <c r="F774" s="427"/>
      <c r="G774" s="427"/>
      <c r="H774" s="427"/>
      <c r="I774" s="427"/>
      <c r="J774" s="428"/>
    </row>
    <row r="775" spans="1:10" x14ac:dyDescent="0.25">
      <c r="A775" s="316"/>
      <c r="B775" s="429"/>
      <c r="C775" s="429"/>
      <c r="D775" s="429"/>
      <c r="E775" s="429"/>
      <c r="F775" s="429"/>
      <c r="G775" s="429"/>
      <c r="H775" s="429"/>
      <c r="I775" s="429"/>
      <c r="J775" s="430"/>
    </row>
    <row r="776" spans="1:10" x14ac:dyDescent="0.25">
      <c r="A776" s="431"/>
      <c r="B776" s="432"/>
      <c r="C776" s="432"/>
      <c r="D776" s="432"/>
      <c r="E776" s="432"/>
      <c r="F776" s="432"/>
      <c r="G776" s="432"/>
      <c r="H776" s="432"/>
      <c r="I776" s="432"/>
      <c r="J776" s="433"/>
    </row>
    <row r="777" spans="1:10" x14ac:dyDescent="0.25">
      <c r="A777" s="431"/>
      <c r="B777" s="432"/>
      <c r="C777" s="432"/>
      <c r="D777" s="432"/>
      <c r="E777" s="432"/>
      <c r="F777" s="432"/>
      <c r="G777" s="432"/>
      <c r="H777" s="432"/>
      <c r="I777" s="432"/>
      <c r="J777" s="433"/>
    </row>
    <row r="778" spans="1:10" x14ac:dyDescent="0.25">
      <c r="A778" s="431"/>
      <c r="B778" s="432"/>
      <c r="C778" s="432"/>
      <c r="D778" s="432"/>
      <c r="E778" s="432"/>
      <c r="F778" s="432"/>
      <c r="G778" s="432"/>
      <c r="H778" s="432"/>
      <c r="I778" s="432"/>
      <c r="J778" s="433"/>
    </row>
    <row r="779" spans="1:10" x14ac:dyDescent="0.25">
      <c r="A779" s="431"/>
      <c r="B779" s="432"/>
      <c r="C779" s="432"/>
      <c r="D779" s="432"/>
      <c r="E779" s="432"/>
      <c r="F779" s="432"/>
      <c r="G779" s="432"/>
      <c r="H779" s="432"/>
      <c r="I779" s="432"/>
      <c r="J779" s="433"/>
    </row>
    <row r="780" spans="1:10" x14ac:dyDescent="0.25">
      <c r="A780" s="431"/>
      <c r="B780" s="432"/>
      <c r="C780" s="432"/>
      <c r="D780" s="432"/>
      <c r="E780" s="432"/>
      <c r="F780" s="432"/>
      <c r="G780" s="432"/>
      <c r="H780" s="432"/>
      <c r="I780" s="432"/>
      <c r="J780" s="433"/>
    </row>
    <row r="781" spans="1:10" x14ac:dyDescent="0.25">
      <c r="A781" s="431"/>
      <c r="B781" s="432"/>
      <c r="C781" s="432"/>
      <c r="D781" s="432"/>
      <c r="E781" s="432"/>
      <c r="F781" s="432"/>
      <c r="G781" s="432"/>
      <c r="H781" s="432"/>
      <c r="I781" s="432"/>
      <c r="J781" s="433"/>
    </row>
    <row r="782" spans="1:10" x14ac:dyDescent="0.25">
      <c r="A782" s="431"/>
      <c r="B782" s="432"/>
      <c r="C782" s="432"/>
      <c r="D782" s="432"/>
      <c r="E782" s="432"/>
      <c r="F782" s="432"/>
      <c r="G782" s="432"/>
      <c r="H782" s="432"/>
      <c r="I782" s="432"/>
      <c r="J782" s="433"/>
    </row>
    <row r="783" spans="1:10" x14ac:dyDescent="0.25">
      <c r="A783" s="431"/>
      <c r="B783" s="432"/>
      <c r="C783" s="432"/>
      <c r="D783" s="432"/>
      <c r="E783" s="432"/>
      <c r="F783" s="432"/>
      <c r="G783" s="432"/>
      <c r="H783" s="432"/>
      <c r="I783" s="432"/>
      <c r="J783" s="433"/>
    </row>
    <row r="784" spans="1:10" x14ac:dyDescent="0.25">
      <c r="A784" s="431"/>
      <c r="B784" s="432"/>
      <c r="C784" s="432"/>
      <c r="D784" s="432"/>
      <c r="E784" s="432"/>
      <c r="F784" s="432"/>
      <c r="G784" s="432"/>
      <c r="H784" s="432"/>
      <c r="I784" s="432"/>
      <c r="J784" s="433"/>
    </row>
    <row r="785" spans="1:10" x14ac:dyDescent="0.25">
      <c r="A785" s="431"/>
      <c r="B785" s="432"/>
      <c r="C785" s="432"/>
      <c r="D785" s="432"/>
      <c r="E785" s="432"/>
      <c r="F785" s="432"/>
      <c r="G785" s="432"/>
      <c r="H785" s="432"/>
      <c r="I785" s="432"/>
      <c r="J785" s="433"/>
    </row>
    <row r="786" spans="1:10" x14ac:dyDescent="0.25">
      <c r="A786" s="431"/>
      <c r="B786" s="432"/>
      <c r="C786" s="432"/>
      <c r="D786" s="432"/>
      <c r="E786" s="432"/>
      <c r="F786" s="432"/>
      <c r="G786" s="432"/>
      <c r="H786" s="432"/>
      <c r="I786" s="432"/>
      <c r="J786" s="433"/>
    </row>
    <row r="787" spans="1:10" x14ac:dyDescent="0.25">
      <c r="A787" s="431"/>
      <c r="B787" s="432"/>
      <c r="C787" s="432"/>
      <c r="D787" s="432"/>
      <c r="E787" s="432"/>
      <c r="F787" s="432"/>
      <c r="G787" s="432"/>
      <c r="H787" s="432"/>
      <c r="I787" s="432"/>
      <c r="J787" s="433"/>
    </row>
    <row r="788" spans="1:10" x14ac:dyDescent="0.25">
      <c r="A788" s="431"/>
      <c r="B788" s="432"/>
      <c r="C788" s="432"/>
      <c r="D788" s="432"/>
      <c r="E788" s="432"/>
      <c r="F788" s="432"/>
      <c r="G788" s="432"/>
      <c r="H788" s="432"/>
      <c r="I788" s="432"/>
      <c r="J788" s="433"/>
    </row>
    <row r="789" spans="1:10" x14ac:dyDescent="0.25">
      <c r="A789" s="431"/>
      <c r="B789" s="432"/>
      <c r="C789" s="432"/>
      <c r="D789" s="432"/>
      <c r="E789" s="432"/>
      <c r="F789" s="432"/>
      <c r="G789" s="432"/>
      <c r="H789" s="432"/>
      <c r="I789" s="432"/>
      <c r="J789" s="433"/>
    </row>
    <row r="790" spans="1:10" x14ac:dyDescent="0.25">
      <c r="A790" s="431"/>
      <c r="B790" s="432"/>
      <c r="C790" s="432"/>
      <c r="D790" s="432"/>
      <c r="E790" s="432"/>
      <c r="F790" s="432"/>
      <c r="G790" s="432"/>
      <c r="H790" s="432"/>
      <c r="I790" s="432"/>
      <c r="J790" s="433"/>
    </row>
    <row r="791" spans="1:10" x14ac:dyDescent="0.25">
      <c r="A791" s="431"/>
      <c r="B791" s="432"/>
      <c r="C791" s="432"/>
      <c r="D791" s="432"/>
      <c r="E791" s="432"/>
      <c r="F791" s="432"/>
      <c r="G791" s="432"/>
      <c r="H791" s="432"/>
      <c r="I791" s="432"/>
      <c r="J791" s="433"/>
    </row>
    <row r="792" spans="1:10" x14ac:dyDescent="0.25">
      <c r="A792" s="431"/>
      <c r="B792" s="432"/>
      <c r="C792" s="432"/>
      <c r="D792" s="432"/>
      <c r="E792" s="432"/>
      <c r="F792" s="432"/>
      <c r="G792" s="432"/>
      <c r="H792" s="432"/>
      <c r="I792" s="432"/>
      <c r="J792" s="433"/>
    </row>
    <row r="793" spans="1:10" x14ac:dyDescent="0.25">
      <c r="A793" s="431"/>
      <c r="B793" s="432"/>
      <c r="C793" s="432"/>
      <c r="D793" s="432"/>
      <c r="E793" s="432"/>
      <c r="F793" s="432"/>
      <c r="G793" s="432"/>
      <c r="H793" s="432"/>
      <c r="I793" s="432"/>
      <c r="J793" s="433"/>
    </row>
    <row r="794" spans="1:10" x14ac:dyDescent="0.25">
      <c r="A794" s="431"/>
      <c r="B794" s="432"/>
      <c r="C794" s="432"/>
      <c r="D794" s="432"/>
      <c r="E794" s="432"/>
      <c r="F794" s="432"/>
      <c r="G794" s="432"/>
      <c r="H794" s="432"/>
      <c r="I794" s="432"/>
      <c r="J794" s="433"/>
    </row>
    <row r="795" spans="1:10" x14ac:dyDescent="0.25">
      <c r="A795" s="431"/>
      <c r="B795" s="432"/>
      <c r="C795" s="432"/>
      <c r="D795" s="432"/>
      <c r="E795" s="432"/>
      <c r="F795" s="432"/>
      <c r="G795" s="432"/>
      <c r="H795" s="432"/>
      <c r="I795" s="432"/>
      <c r="J795" s="433"/>
    </row>
    <row r="796" spans="1:10" x14ac:dyDescent="0.25">
      <c r="A796" s="431"/>
      <c r="B796" s="432"/>
      <c r="C796" s="432"/>
      <c r="D796" s="432"/>
      <c r="E796" s="432"/>
      <c r="F796" s="432"/>
      <c r="G796" s="432"/>
      <c r="H796" s="432"/>
      <c r="I796" s="432"/>
      <c r="J796" s="433"/>
    </row>
    <row r="797" spans="1:10" x14ac:dyDescent="0.25">
      <c r="A797" s="431"/>
      <c r="B797" s="432"/>
      <c r="C797" s="432"/>
      <c r="D797" s="432"/>
      <c r="E797" s="432"/>
      <c r="F797" s="432"/>
      <c r="G797" s="432"/>
      <c r="H797" s="432"/>
      <c r="I797" s="432"/>
      <c r="J797" s="433"/>
    </row>
    <row r="798" spans="1:10" x14ac:dyDescent="0.25">
      <c r="A798" s="431"/>
      <c r="B798" s="432"/>
      <c r="C798" s="432"/>
      <c r="D798" s="432"/>
      <c r="E798" s="432"/>
      <c r="F798" s="432"/>
      <c r="G798" s="432"/>
      <c r="H798" s="432"/>
      <c r="I798" s="432"/>
      <c r="J798" s="433"/>
    </row>
    <row r="799" spans="1:10" x14ac:dyDescent="0.25">
      <c r="A799" s="431"/>
      <c r="B799" s="432"/>
      <c r="C799" s="432"/>
      <c r="D799" s="432"/>
      <c r="E799" s="432"/>
      <c r="F799" s="432"/>
      <c r="G799" s="432"/>
      <c r="H799" s="432"/>
      <c r="I799" s="432"/>
      <c r="J799" s="433"/>
    </row>
    <row r="800" spans="1:10" x14ac:dyDescent="0.25">
      <c r="A800" s="431"/>
      <c r="B800" s="432"/>
      <c r="C800" s="432"/>
      <c r="D800" s="432"/>
      <c r="E800" s="432"/>
      <c r="F800" s="432"/>
      <c r="G800" s="432"/>
      <c r="H800" s="432"/>
      <c r="I800" s="432"/>
      <c r="J800" s="433"/>
    </row>
    <row r="801" spans="1:10" x14ac:dyDescent="0.25">
      <c r="A801" s="431"/>
      <c r="B801" s="432"/>
      <c r="C801" s="432"/>
      <c r="D801" s="432"/>
      <c r="E801" s="432"/>
      <c r="F801" s="432"/>
      <c r="G801" s="432"/>
      <c r="H801" s="432"/>
      <c r="I801" s="432"/>
      <c r="J801" s="433"/>
    </row>
    <row r="802" spans="1:10" x14ac:dyDescent="0.25">
      <c r="A802" s="431"/>
      <c r="B802" s="432"/>
      <c r="C802" s="432"/>
      <c r="D802" s="432"/>
      <c r="E802" s="432"/>
      <c r="F802" s="432"/>
      <c r="G802" s="432"/>
      <c r="H802" s="432"/>
      <c r="I802" s="432"/>
      <c r="J802" s="433"/>
    </row>
    <row r="803" spans="1:10" x14ac:dyDescent="0.25">
      <c r="A803" s="431"/>
      <c r="B803" s="432"/>
      <c r="C803" s="432"/>
      <c r="D803" s="432"/>
      <c r="E803" s="432"/>
      <c r="F803" s="432"/>
      <c r="G803" s="432"/>
      <c r="H803" s="432"/>
      <c r="I803" s="432"/>
      <c r="J803" s="433"/>
    </row>
    <row r="804" spans="1:10" x14ac:dyDescent="0.25">
      <c r="A804" s="431"/>
      <c r="B804" s="432"/>
      <c r="C804" s="432"/>
      <c r="D804" s="432"/>
      <c r="E804" s="432"/>
      <c r="F804" s="432"/>
      <c r="G804" s="432"/>
      <c r="H804" s="432"/>
      <c r="I804" s="432"/>
      <c r="J804" s="433"/>
    </row>
    <row r="805" spans="1:10" x14ac:dyDescent="0.25">
      <c r="A805" s="431"/>
      <c r="B805" s="432"/>
      <c r="C805" s="432"/>
      <c r="D805" s="432"/>
      <c r="E805" s="432"/>
      <c r="F805" s="432"/>
      <c r="G805" s="432"/>
      <c r="H805" s="432"/>
      <c r="I805" s="432"/>
      <c r="J805" s="433"/>
    </row>
    <row r="806" spans="1:10" x14ac:dyDescent="0.25">
      <c r="A806" s="431"/>
      <c r="B806" s="432"/>
      <c r="C806" s="432"/>
      <c r="D806" s="432"/>
      <c r="E806" s="432"/>
      <c r="F806" s="432"/>
      <c r="G806" s="432"/>
      <c r="H806" s="432"/>
      <c r="I806" s="432"/>
      <c r="J806" s="433"/>
    </row>
    <row r="807" spans="1:10" x14ac:dyDescent="0.25">
      <c r="A807" s="431"/>
      <c r="B807" s="432"/>
      <c r="C807" s="432"/>
      <c r="D807" s="432"/>
      <c r="E807" s="432"/>
      <c r="F807" s="432"/>
      <c r="G807" s="432"/>
      <c r="H807" s="432"/>
      <c r="I807" s="432"/>
      <c r="J807" s="433"/>
    </row>
    <row r="808" spans="1:10" x14ac:dyDescent="0.25">
      <c r="A808" s="431"/>
      <c r="B808" s="432"/>
      <c r="C808" s="432"/>
      <c r="D808" s="432"/>
      <c r="E808" s="432"/>
      <c r="F808" s="432"/>
      <c r="G808" s="432"/>
      <c r="H808" s="432"/>
      <c r="I808" s="432"/>
      <c r="J808" s="433"/>
    </row>
    <row r="809" spans="1:10" x14ac:dyDescent="0.25">
      <c r="A809" s="434"/>
      <c r="B809" s="435"/>
      <c r="C809" s="435"/>
      <c r="D809" s="435"/>
      <c r="E809" s="435"/>
      <c r="F809" s="435"/>
      <c r="G809" s="435"/>
      <c r="H809" s="435"/>
      <c r="I809" s="435"/>
      <c r="J809" s="436"/>
    </row>
    <row r="811" spans="1:10" ht="8.1" customHeight="1" x14ac:dyDescent="0.3">
      <c r="A811" s="372" t="s">
        <v>76</v>
      </c>
      <c r="B811" s="373"/>
      <c r="C811" s="373"/>
      <c r="D811" s="373"/>
      <c r="E811" s="373"/>
      <c r="F811" s="373"/>
      <c r="G811" s="373"/>
      <c r="H811" s="370" t="str">
        <f>'CONTACT INFORMATION'!$A$24</f>
        <v>Ventura</v>
      </c>
      <c r="I811" s="370"/>
      <c r="J811" s="371"/>
    </row>
    <row r="812" spans="1:10" x14ac:dyDescent="0.25">
      <c r="A812" s="211"/>
      <c r="B812" s="212"/>
      <c r="C812" s="212"/>
      <c r="D812" s="212"/>
      <c r="E812" s="212"/>
      <c r="F812" s="212"/>
      <c r="G812" s="212"/>
      <c r="H812" s="212"/>
      <c r="I812" s="212"/>
      <c r="J812" s="213"/>
    </row>
    <row r="813" spans="1:10" ht="13.8" x14ac:dyDescent="0.25">
      <c r="A813" s="460" t="s">
        <v>200</v>
      </c>
      <c r="B813" s="461"/>
      <c r="C813" s="461"/>
      <c r="D813" s="461"/>
      <c r="E813" s="461"/>
      <c r="F813" s="461"/>
      <c r="G813" s="461"/>
      <c r="H813" s="461"/>
      <c r="I813" s="461"/>
      <c r="J813" s="462"/>
    </row>
    <row r="814" spans="1:10" x14ac:dyDescent="0.25">
      <c r="A814" s="463" t="s">
        <v>151</v>
      </c>
      <c r="B814" s="464"/>
      <c r="C814" s="464"/>
      <c r="D814" s="465"/>
      <c r="E814" s="466"/>
      <c r="F814" s="467"/>
      <c r="G814" s="467"/>
      <c r="H814" s="467"/>
      <c r="I814" s="467"/>
      <c r="J814" s="468"/>
    </row>
    <row r="815" spans="1:10" x14ac:dyDescent="0.25">
      <c r="A815" s="472" t="s">
        <v>181</v>
      </c>
      <c r="B815" s="473"/>
      <c r="C815" s="473"/>
      <c r="D815" s="474"/>
      <c r="E815" s="469"/>
      <c r="F815" s="470"/>
      <c r="G815" s="470"/>
      <c r="H815" s="470"/>
      <c r="I815" s="470"/>
      <c r="J815" s="471"/>
    </row>
    <row r="816" spans="1:10" ht="27" customHeight="1" x14ac:dyDescent="0.25">
      <c r="A816" s="475" t="s">
        <v>182</v>
      </c>
      <c r="B816" s="476"/>
      <c r="C816" s="476"/>
      <c r="D816" s="477"/>
      <c r="E816" s="478"/>
      <c r="F816" s="479"/>
      <c r="G816" s="479"/>
      <c r="H816" s="479"/>
      <c r="I816" s="479"/>
      <c r="J816" s="480"/>
    </row>
    <row r="817" spans="1:10" x14ac:dyDescent="0.25">
      <c r="A817" s="146"/>
      <c r="B817" s="220"/>
      <c r="C817" s="220"/>
      <c r="D817" s="220"/>
      <c r="E817" s="481" t="s">
        <v>155</v>
      </c>
      <c r="F817" s="482"/>
      <c r="G817" s="481" t="s">
        <v>156</v>
      </c>
      <c r="H817" s="482"/>
      <c r="I817" s="483" t="s">
        <v>157</v>
      </c>
      <c r="J817" s="484"/>
    </row>
    <row r="818" spans="1:10" x14ac:dyDescent="0.25">
      <c r="A818" s="449" t="s">
        <v>158</v>
      </c>
      <c r="B818" s="450"/>
      <c r="C818" s="450"/>
      <c r="D818" s="451"/>
      <c r="E818" s="458"/>
      <c r="F818" s="458"/>
      <c r="G818" s="458"/>
      <c r="H818" s="458"/>
      <c r="I818" s="459"/>
      <c r="J818" s="459"/>
    </row>
    <row r="819" spans="1:10" x14ac:dyDescent="0.25">
      <c r="A819" s="454" t="s">
        <v>159</v>
      </c>
      <c r="B819" s="455"/>
      <c r="C819" s="455"/>
      <c r="D819" s="456"/>
      <c r="E819" s="440"/>
      <c r="F819" s="440"/>
      <c r="G819" s="441"/>
      <c r="H819" s="441"/>
      <c r="I819" s="457"/>
      <c r="J819" s="457"/>
    </row>
    <row r="820" spans="1:10" x14ac:dyDescent="0.25">
      <c r="A820" s="449" t="s">
        <v>160</v>
      </c>
      <c r="B820" s="450"/>
      <c r="C820" s="450"/>
      <c r="D820" s="451"/>
      <c r="E820" s="458"/>
      <c r="F820" s="458"/>
      <c r="G820" s="458"/>
      <c r="H820" s="458"/>
      <c r="I820" s="459"/>
      <c r="J820" s="459"/>
    </row>
    <row r="821" spans="1:10" x14ac:dyDescent="0.25">
      <c r="A821" s="454" t="s">
        <v>161</v>
      </c>
      <c r="B821" s="455"/>
      <c r="C821" s="455"/>
      <c r="D821" s="456"/>
      <c r="E821" s="440"/>
      <c r="F821" s="440"/>
      <c r="G821" s="441"/>
      <c r="H821" s="441"/>
      <c r="I821" s="457"/>
      <c r="J821" s="457"/>
    </row>
    <row r="822" spans="1:10" x14ac:dyDescent="0.25">
      <c r="A822" s="449" t="s">
        <v>162</v>
      </c>
      <c r="B822" s="450"/>
      <c r="C822" s="450"/>
      <c r="D822" s="451"/>
      <c r="E822" s="458"/>
      <c r="F822" s="458"/>
      <c r="G822" s="458"/>
      <c r="H822" s="458"/>
      <c r="I822" s="459"/>
      <c r="J822" s="459"/>
    </row>
    <row r="823" spans="1:10" x14ac:dyDescent="0.25">
      <c r="A823" s="454" t="s">
        <v>163</v>
      </c>
      <c r="B823" s="455"/>
      <c r="C823" s="455"/>
      <c r="D823" s="456"/>
      <c r="E823" s="440"/>
      <c r="F823" s="440"/>
      <c r="G823" s="441"/>
      <c r="H823" s="441"/>
      <c r="I823" s="457"/>
      <c r="J823" s="457"/>
    </row>
    <row r="824" spans="1:10" x14ac:dyDescent="0.25">
      <c r="A824" s="449" t="s">
        <v>164</v>
      </c>
      <c r="B824" s="450"/>
      <c r="C824" s="450"/>
      <c r="D824" s="451"/>
      <c r="E824" s="452"/>
      <c r="F824" s="452"/>
      <c r="G824" s="452"/>
      <c r="H824" s="452"/>
      <c r="I824" s="453"/>
      <c r="J824" s="453"/>
    </row>
    <row r="825" spans="1:10" x14ac:dyDescent="0.25">
      <c r="A825" s="437"/>
      <c r="B825" s="438"/>
      <c r="C825" s="438"/>
      <c r="D825" s="439"/>
      <c r="E825" s="440"/>
      <c r="F825" s="440"/>
      <c r="G825" s="441"/>
      <c r="H825" s="441"/>
      <c r="I825" s="441"/>
      <c r="J825" s="441"/>
    </row>
    <row r="826" spans="1:10" x14ac:dyDescent="0.25">
      <c r="A826" s="437"/>
      <c r="B826" s="438"/>
      <c r="C826" s="438"/>
      <c r="D826" s="439"/>
      <c r="E826" s="440"/>
      <c r="F826" s="440"/>
      <c r="G826" s="441"/>
      <c r="H826" s="441"/>
      <c r="I826" s="441"/>
      <c r="J826" s="441"/>
    </row>
    <row r="827" spans="1:10" x14ac:dyDescent="0.25">
      <c r="A827" s="437"/>
      <c r="B827" s="438"/>
      <c r="C827" s="438"/>
      <c r="D827" s="439"/>
      <c r="E827" s="440"/>
      <c r="F827" s="440"/>
      <c r="G827" s="441"/>
      <c r="H827" s="441"/>
      <c r="I827" s="441"/>
      <c r="J827" s="441"/>
    </row>
    <row r="828" spans="1:10" x14ac:dyDescent="0.25">
      <c r="A828" s="442" t="s">
        <v>165</v>
      </c>
      <c r="B828" s="443"/>
      <c r="C828" s="443"/>
      <c r="D828" s="444"/>
      <c r="E828" s="445">
        <f>SUM(E818:E827)</f>
        <v>0</v>
      </c>
      <c r="F828" s="445"/>
      <c r="G828" s="445">
        <f>SUM(G818:G827)</f>
        <v>0</v>
      </c>
      <c r="H828" s="445"/>
      <c r="I828" s="445">
        <f>SUM(I818:I827)</f>
        <v>0</v>
      </c>
      <c r="J828" s="445"/>
    </row>
    <row r="829" spans="1:10" x14ac:dyDescent="0.25">
      <c r="A829" s="446" t="s">
        <v>166</v>
      </c>
      <c r="B829" s="447"/>
      <c r="C829" s="447"/>
      <c r="D829" s="447"/>
      <c r="E829" s="447"/>
      <c r="F829" s="447"/>
      <c r="G829" s="447"/>
      <c r="H829" s="447"/>
      <c r="I829" s="447"/>
      <c r="J829" s="448"/>
    </row>
    <row r="830" spans="1:10" x14ac:dyDescent="0.25">
      <c r="A830" s="423" t="s">
        <v>167</v>
      </c>
      <c r="B830" s="424"/>
      <c r="C830" s="424"/>
      <c r="D830" s="424"/>
      <c r="E830" s="424"/>
      <c r="F830" s="424"/>
      <c r="G830" s="424"/>
      <c r="H830" s="424"/>
      <c r="I830" s="424"/>
      <c r="J830" s="425"/>
    </row>
    <row r="831" spans="1:10" x14ac:dyDescent="0.25">
      <c r="A831" s="423" t="s">
        <v>168</v>
      </c>
      <c r="B831" s="424"/>
      <c r="C831" s="424"/>
      <c r="D831" s="424"/>
      <c r="E831" s="424"/>
      <c r="F831" s="424"/>
      <c r="G831" s="424"/>
      <c r="H831" s="424"/>
      <c r="I831" s="424"/>
      <c r="J831" s="425"/>
    </row>
    <row r="832" spans="1:10" x14ac:dyDescent="0.25">
      <c r="A832" s="426" t="s">
        <v>169</v>
      </c>
      <c r="B832" s="427"/>
      <c r="C832" s="427"/>
      <c r="D832" s="427"/>
      <c r="E832" s="427"/>
      <c r="F832" s="427"/>
      <c r="G832" s="427"/>
      <c r="H832" s="427"/>
      <c r="I832" s="427"/>
      <c r="J832" s="428"/>
    </row>
    <row r="833" spans="1:10" x14ac:dyDescent="0.25">
      <c r="A833" s="316"/>
      <c r="B833" s="429"/>
      <c r="C833" s="429"/>
      <c r="D833" s="429"/>
      <c r="E833" s="429"/>
      <c r="F833" s="429"/>
      <c r="G833" s="429"/>
      <c r="H833" s="429"/>
      <c r="I833" s="429"/>
      <c r="J833" s="430"/>
    </row>
    <row r="834" spans="1:10" x14ac:dyDescent="0.25">
      <c r="A834" s="431"/>
      <c r="B834" s="432"/>
      <c r="C834" s="432"/>
      <c r="D834" s="432"/>
      <c r="E834" s="432"/>
      <c r="F834" s="432"/>
      <c r="G834" s="432"/>
      <c r="H834" s="432"/>
      <c r="I834" s="432"/>
      <c r="J834" s="433"/>
    </row>
    <row r="835" spans="1:10" x14ac:dyDescent="0.25">
      <c r="A835" s="431"/>
      <c r="B835" s="432"/>
      <c r="C835" s="432"/>
      <c r="D835" s="432"/>
      <c r="E835" s="432"/>
      <c r="F835" s="432"/>
      <c r="G835" s="432"/>
      <c r="H835" s="432"/>
      <c r="I835" s="432"/>
      <c r="J835" s="433"/>
    </row>
    <row r="836" spans="1:10" x14ac:dyDescent="0.25">
      <c r="A836" s="431"/>
      <c r="B836" s="432"/>
      <c r="C836" s="432"/>
      <c r="D836" s="432"/>
      <c r="E836" s="432"/>
      <c r="F836" s="432"/>
      <c r="G836" s="432"/>
      <c r="H836" s="432"/>
      <c r="I836" s="432"/>
      <c r="J836" s="433"/>
    </row>
    <row r="837" spans="1:10" x14ac:dyDescent="0.25">
      <c r="A837" s="431"/>
      <c r="B837" s="432"/>
      <c r="C837" s="432"/>
      <c r="D837" s="432"/>
      <c r="E837" s="432"/>
      <c r="F837" s="432"/>
      <c r="G837" s="432"/>
      <c r="H837" s="432"/>
      <c r="I837" s="432"/>
      <c r="J837" s="433"/>
    </row>
    <row r="838" spans="1:10" x14ac:dyDescent="0.25">
      <c r="A838" s="431"/>
      <c r="B838" s="432"/>
      <c r="C838" s="432"/>
      <c r="D838" s="432"/>
      <c r="E838" s="432"/>
      <c r="F838" s="432"/>
      <c r="G838" s="432"/>
      <c r="H838" s="432"/>
      <c r="I838" s="432"/>
      <c r="J838" s="433"/>
    </row>
    <row r="839" spans="1:10" x14ac:dyDescent="0.25">
      <c r="A839" s="431"/>
      <c r="B839" s="432"/>
      <c r="C839" s="432"/>
      <c r="D839" s="432"/>
      <c r="E839" s="432"/>
      <c r="F839" s="432"/>
      <c r="G839" s="432"/>
      <c r="H839" s="432"/>
      <c r="I839" s="432"/>
      <c r="J839" s="433"/>
    </row>
    <row r="840" spans="1:10" x14ac:dyDescent="0.25">
      <c r="A840" s="431"/>
      <c r="B840" s="432"/>
      <c r="C840" s="432"/>
      <c r="D840" s="432"/>
      <c r="E840" s="432"/>
      <c r="F840" s="432"/>
      <c r="G840" s="432"/>
      <c r="H840" s="432"/>
      <c r="I840" s="432"/>
      <c r="J840" s="433"/>
    </row>
    <row r="841" spans="1:10" x14ac:dyDescent="0.25">
      <c r="A841" s="431"/>
      <c r="B841" s="432"/>
      <c r="C841" s="432"/>
      <c r="D841" s="432"/>
      <c r="E841" s="432"/>
      <c r="F841" s="432"/>
      <c r="G841" s="432"/>
      <c r="H841" s="432"/>
      <c r="I841" s="432"/>
      <c r="J841" s="433"/>
    </row>
    <row r="842" spans="1:10" x14ac:dyDescent="0.25">
      <c r="A842" s="431"/>
      <c r="B842" s="432"/>
      <c r="C842" s="432"/>
      <c r="D842" s="432"/>
      <c r="E842" s="432"/>
      <c r="F842" s="432"/>
      <c r="G842" s="432"/>
      <c r="H842" s="432"/>
      <c r="I842" s="432"/>
      <c r="J842" s="433"/>
    </row>
    <row r="843" spans="1:10" x14ac:dyDescent="0.25">
      <c r="A843" s="431"/>
      <c r="B843" s="432"/>
      <c r="C843" s="432"/>
      <c r="D843" s="432"/>
      <c r="E843" s="432"/>
      <c r="F843" s="432"/>
      <c r="G843" s="432"/>
      <c r="H843" s="432"/>
      <c r="I843" s="432"/>
      <c r="J843" s="433"/>
    </row>
    <row r="844" spans="1:10" x14ac:dyDescent="0.25">
      <c r="A844" s="431"/>
      <c r="B844" s="432"/>
      <c r="C844" s="432"/>
      <c r="D844" s="432"/>
      <c r="E844" s="432"/>
      <c r="F844" s="432"/>
      <c r="G844" s="432"/>
      <c r="H844" s="432"/>
      <c r="I844" s="432"/>
      <c r="J844" s="433"/>
    </row>
    <row r="845" spans="1:10" x14ac:dyDescent="0.25">
      <c r="A845" s="431"/>
      <c r="B845" s="432"/>
      <c r="C845" s="432"/>
      <c r="D845" s="432"/>
      <c r="E845" s="432"/>
      <c r="F845" s="432"/>
      <c r="G845" s="432"/>
      <c r="H845" s="432"/>
      <c r="I845" s="432"/>
      <c r="J845" s="433"/>
    </row>
    <row r="846" spans="1:10" x14ac:dyDescent="0.25">
      <c r="A846" s="431"/>
      <c r="B846" s="432"/>
      <c r="C846" s="432"/>
      <c r="D846" s="432"/>
      <c r="E846" s="432"/>
      <c r="F846" s="432"/>
      <c r="G846" s="432"/>
      <c r="H846" s="432"/>
      <c r="I846" s="432"/>
      <c r="J846" s="433"/>
    </row>
    <row r="847" spans="1:10" x14ac:dyDescent="0.25">
      <c r="A847" s="431"/>
      <c r="B847" s="432"/>
      <c r="C847" s="432"/>
      <c r="D847" s="432"/>
      <c r="E847" s="432"/>
      <c r="F847" s="432"/>
      <c r="G847" s="432"/>
      <c r="H847" s="432"/>
      <c r="I847" s="432"/>
      <c r="J847" s="433"/>
    </row>
    <row r="848" spans="1:10" x14ac:dyDescent="0.25">
      <c r="A848" s="431"/>
      <c r="B848" s="432"/>
      <c r="C848" s="432"/>
      <c r="D848" s="432"/>
      <c r="E848" s="432"/>
      <c r="F848" s="432"/>
      <c r="G848" s="432"/>
      <c r="H848" s="432"/>
      <c r="I848" s="432"/>
      <c r="J848" s="433"/>
    </row>
    <row r="849" spans="1:10" x14ac:dyDescent="0.25">
      <c r="A849" s="431"/>
      <c r="B849" s="432"/>
      <c r="C849" s="432"/>
      <c r="D849" s="432"/>
      <c r="E849" s="432"/>
      <c r="F849" s="432"/>
      <c r="G849" s="432"/>
      <c r="H849" s="432"/>
      <c r="I849" s="432"/>
      <c r="J849" s="433"/>
    </row>
    <row r="850" spans="1:10" x14ac:dyDescent="0.25">
      <c r="A850" s="431"/>
      <c r="B850" s="432"/>
      <c r="C850" s="432"/>
      <c r="D850" s="432"/>
      <c r="E850" s="432"/>
      <c r="F850" s="432"/>
      <c r="G850" s="432"/>
      <c r="H850" s="432"/>
      <c r="I850" s="432"/>
      <c r="J850" s="433"/>
    </row>
    <row r="851" spans="1:10" x14ac:dyDescent="0.25">
      <c r="A851" s="431"/>
      <c r="B851" s="432"/>
      <c r="C851" s="432"/>
      <c r="D851" s="432"/>
      <c r="E851" s="432"/>
      <c r="F851" s="432"/>
      <c r="G851" s="432"/>
      <c r="H851" s="432"/>
      <c r="I851" s="432"/>
      <c r="J851" s="433"/>
    </row>
    <row r="852" spans="1:10" x14ac:dyDescent="0.25">
      <c r="A852" s="431"/>
      <c r="B852" s="432"/>
      <c r="C852" s="432"/>
      <c r="D852" s="432"/>
      <c r="E852" s="432"/>
      <c r="F852" s="432"/>
      <c r="G852" s="432"/>
      <c r="H852" s="432"/>
      <c r="I852" s="432"/>
      <c r="J852" s="433"/>
    </row>
    <row r="853" spans="1:10" x14ac:dyDescent="0.25">
      <c r="A853" s="431"/>
      <c r="B853" s="432"/>
      <c r="C853" s="432"/>
      <c r="D853" s="432"/>
      <c r="E853" s="432"/>
      <c r="F853" s="432"/>
      <c r="G853" s="432"/>
      <c r="H853" s="432"/>
      <c r="I853" s="432"/>
      <c r="J853" s="433"/>
    </row>
    <row r="854" spans="1:10" x14ac:dyDescent="0.25">
      <c r="A854" s="431"/>
      <c r="B854" s="432"/>
      <c r="C854" s="432"/>
      <c r="D854" s="432"/>
      <c r="E854" s="432"/>
      <c r="F854" s="432"/>
      <c r="G854" s="432"/>
      <c r="H854" s="432"/>
      <c r="I854" s="432"/>
      <c r="J854" s="433"/>
    </row>
    <row r="855" spans="1:10" x14ac:dyDescent="0.25">
      <c r="A855" s="431"/>
      <c r="B855" s="432"/>
      <c r="C855" s="432"/>
      <c r="D855" s="432"/>
      <c r="E855" s="432"/>
      <c r="F855" s="432"/>
      <c r="G855" s="432"/>
      <c r="H855" s="432"/>
      <c r="I855" s="432"/>
      <c r="J855" s="433"/>
    </row>
    <row r="856" spans="1:10" x14ac:dyDescent="0.25">
      <c r="A856" s="431"/>
      <c r="B856" s="432"/>
      <c r="C856" s="432"/>
      <c r="D856" s="432"/>
      <c r="E856" s="432"/>
      <c r="F856" s="432"/>
      <c r="G856" s="432"/>
      <c r="H856" s="432"/>
      <c r="I856" s="432"/>
      <c r="J856" s="433"/>
    </row>
    <row r="857" spans="1:10" x14ac:dyDescent="0.25">
      <c r="A857" s="431"/>
      <c r="B857" s="432"/>
      <c r="C857" s="432"/>
      <c r="D857" s="432"/>
      <c r="E857" s="432"/>
      <c r="F857" s="432"/>
      <c r="G857" s="432"/>
      <c r="H857" s="432"/>
      <c r="I857" s="432"/>
      <c r="J857" s="433"/>
    </row>
    <row r="858" spans="1:10" x14ac:dyDescent="0.25">
      <c r="A858" s="431"/>
      <c r="B858" s="432"/>
      <c r="C858" s="432"/>
      <c r="D858" s="432"/>
      <c r="E858" s="432"/>
      <c r="F858" s="432"/>
      <c r="G858" s="432"/>
      <c r="H858" s="432"/>
      <c r="I858" s="432"/>
      <c r="J858" s="433"/>
    </row>
    <row r="859" spans="1:10" x14ac:dyDescent="0.25">
      <c r="A859" s="431"/>
      <c r="B859" s="432"/>
      <c r="C859" s="432"/>
      <c r="D859" s="432"/>
      <c r="E859" s="432"/>
      <c r="F859" s="432"/>
      <c r="G859" s="432"/>
      <c r="H859" s="432"/>
      <c r="I859" s="432"/>
      <c r="J859" s="433"/>
    </row>
    <row r="860" spans="1:10" x14ac:dyDescent="0.25">
      <c r="A860" s="431"/>
      <c r="B860" s="432"/>
      <c r="C860" s="432"/>
      <c r="D860" s="432"/>
      <c r="E860" s="432"/>
      <c r="F860" s="432"/>
      <c r="G860" s="432"/>
      <c r="H860" s="432"/>
      <c r="I860" s="432"/>
      <c r="J860" s="433"/>
    </row>
    <row r="861" spans="1:10" x14ac:dyDescent="0.25">
      <c r="A861" s="431"/>
      <c r="B861" s="432"/>
      <c r="C861" s="432"/>
      <c r="D861" s="432"/>
      <c r="E861" s="432"/>
      <c r="F861" s="432"/>
      <c r="G861" s="432"/>
      <c r="H861" s="432"/>
      <c r="I861" s="432"/>
      <c r="J861" s="433"/>
    </row>
    <row r="862" spans="1:10" x14ac:dyDescent="0.25">
      <c r="A862" s="431"/>
      <c r="B862" s="432"/>
      <c r="C862" s="432"/>
      <c r="D862" s="432"/>
      <c r="E862" s="432"/>
      <c r="F862" s="432"/>
      <c r="G862" s="432"/>
      <c r="H862" s="432"/>
      <c r="I862" s="432"/>
      <c r="J862" s="433"/>
    </row>
    <row r="863" spans="1:10" x14ac:dyDescent="0.25">
      <c r="A863" s="431"/>
      <c r="B863" s="432"/>
      <c r="C863" s="432"/>
      <c r="D863" s="432"/>
      <c r="E863" s="432"/>
      <c r="F863" s="432"/>
      <c r="G863" s="432"/>
      <c r="H863" s="432"/>
      <c r="I863" s="432"/>
      <c r="J863" s="433"/>
    </row>
    <row r="864" spans="1:10" x14ac:dyDescent="0.25">
      <c r="A864" s="431"/>
      <c r="B864" s="432"/>
      <c r="C864" s="432"/>
      <c r="D864" s="432"/>
      <c r="E864" s="432"/>
      <c r="F864" s="432"/>
      <c r="G864" s="432"/>
      <c r="H864" s="432"/>
      <c r="I864" s="432"/>
      <c r="J864" s="433"/>
    </row>
    <row r="865" spans="1:10" x14ac:dyDescent="0.25">
      <c r="A865" s="431"/>
      <c r="B865" s="432"/>
      <c r="C865" s="432"/>
      <c r="D865" s="432"/>
      <c r="E865" s="432"/>
      <c r="F865" s="432"/>
      <c r="G865" s="432"/>
      <c r="H865" s="432"/>
      <c r="I865" s="432"/>
      <c r="J865" s="433"/>
    </row>
    <row r="866" spans="1:10" x14ac:dyDescent="0.25">
      <c r="A866" s="431"/>
      <c r="B866" s="432"/>
      <c r="C866" s="432"/>
      <c r="D866" s="432"/>
      <c r="E866" s="432"/>
      <c r="F866" s="432"/>
      <c r="G866" s="432"/>
      <c r="H866" s="432"/>
      <c r="I866" s="432"/>
      <c r="J866" s="433"/>
    </row>
    <row r="867" spans="1:10" x14ac:dyDescent="0.25">
      <c r="A867" s="434"/>
      <c r="B867" s="435"/>
      <c r="C867" s="435"/>
      <c r="D867" s="435"/>
      <c r="E867" s="435"/>
      <c r="F867" s="435"/>
      <c r="G867" s="435"/>
      <c r="H867" s="435"/>
      <c r="I867" s="435"/>
      <c r="J867" s="436"/>
    </row>
    <row r="869" spans="1:10" ht="8.1" customHeight="1" x14ac:dyDescent="0.3">
      <c r="A869" s="372" t="s">
        <v>76</v>
      </c>
      <c r="B869" s="373"/>
      <c r="C869" s="373"/>
      <c r="D869" s="373"/>
      <c r="E869" s="373"/>
      <c r="F869" s="373"/>
      <c r="G869" s="373"/>
      <c r="H869" s="370" t="str">
        <f>'CONTACT INFORMATION'!$A$24</f>
        <v>Ventura</v>
      </c>
      <c r="I869" s="370"/>
      <c r="J869" s="371"/>
    </row>
    <row r="870" spans="1:10" x14ac:dyDescent="0.25">
      <c r="A870" s="152"/>
      <c r="B870" s="152"/>
      <c r="C870" s="152"/>
      <c r="D870" s="152"/>
      <c r="E870" s="152"/>
      <c r="F870" s="152"/>
      <c r="G870" s="152"/>
      <c r="H870" s="152"/>
      <c r="I870" s="152"/>
      <c r="J870" s="152"/>
    </row>
    <row r="871" spans="1:10" ht="13.8" x14ac:dyDescent="0.25">
      <c r="A871" s="460" t="s">
        <v>201</v>
      </c>
      <c r="B871" s="461"/>
      <c r="C871" s="461"/>
      <c r="D871" s="461"/>
      <c r="E871" s="461"/>
      <c r="F871" s="461"/>
      <c r="G871" s="461"/>
      <c r="H871" s="461"/>
      <c r="I871" s="461"/>
      <c r="J871" s="462"/>
    </row>
    <row r="872" spans="1:10" x14ac:dyDescent="0.25">
      <c r="A872" s="463" t="s">
        <v>151</v>
      </c>
      <c r="B872" s="464"/>
      <c r="C872" s="464"/>
      <c r="D872" s="465"/>
      <c r="E872" s="466"/>
      <c r="F872" s="467"/>
      <c r="G872" s="467"/>
      <c r="H872" s="467"/>
      <c r="I872" s="467"/>
      <c r="J872" s="468"/>
    </row>
    <row r="873" spans="1:10" x14ac:dyDescent="0.25">
      <c r="A873" s="472" t="s">
        <v>181</v>
      </c>
      <c r="B873" s="473"/>
      <c r="C873" s="473"/>
      <c r="D873" s="474"/>
      <c r="E873" s="469"/>
      <c r="F873" s="470"/>
      <c r="G873" s="470"/>
      <c r="H873" s="470"/>
      <c r="I873" s="470"/>
      <c r="J873" s="471"/>
    </row>
    <row r="874" spans="1:10" ht="27" customHeight="1" x14ac:dyDescent="0.25">
      <c r="A874" s="475" t="s">
        <v>182</v>
      </c>
      <c r="B874" s="476"/>
      <c r="C874" s="476"/>
      <c r="D874" s="477"/>
      <c r="E874" s="478"/>
      <c r="F874" s="479"/>
      <c r="G874" s="479"/>
      <c r="H874" s="479"/>
      <c r="I874" s="479"/>
      <c r="J874" s="480"/>
    </row>
    <row r="875" spans="1:10" x14ac:dyDescent="0.25">
      <c r="A875" s="146"/>
      <c r="B875" s="220"/>
      <c r="C875" s="220"/>
      <c r="D875" s="220"/>
      <c r="E875" s="481" t="s">
        <v>155</v>
      </c>
      <c r="F875" s="482"/>
      <c r="G875" s="481" t="s">
        <v>156</v>
      </c>
      <c r="H875" s="482"/>
      <c r="I875" s="483" t="s">
        <v>157</v>
      </c>
      <c r="J875" s="484"/>
    </row>
    <row r="876" spans="1:10" x14ac:dyDescent="0.25">
      <c r="A876" s="449" t="s">
        <v>158</v>
      </c>
      <c r="B876" s="450"/>
      <c r="C876" s="450"/>
      <c r="D876" s="451"/>
      <c r="E876" s="458"/>
      <c r="F876" s="458"/>
      <c r="G876" s="458"/>
      <c r="H876" s="458"/>
      <c r="I876" s="459"/>
      <c r="J876" s="459"/>
    </row>
    <row r="877" spans="1:10" x14ac:dyDescent="0.25">
      <c r="A877" s="454" t="s">
        <v>159</v>
      </c>
      <c r="B877" s="455"/>
      <c r="C877" s="455"/>
      <c r="D877" s="456"/>
      <c r="E877" s="440"/>
      <c r="F877" s="440"/>
      <c r="G877" s="441"/>
      <c r="H877" s="441"/>
      <c r="I877" s="457"/>
      <c r="J877" s="457"/>
    </row>
    <row r="878" spans="1:10" x14ac:dyDescent="0.25">
      <c r="A878" s="449" t="s">
        <v>160</v>
      </c>
      <c r="B878" s="450"/>
      <c r="C878" s="450"/>
      <c r="D878" s="451"/>
      <c r="E878" s="458"/>
      <c r="F878" s="458"/>
      <c r="G878" s="458"/>
      <c r="H878" s="458"/>
      <c r="I878" s="459"/>
      <c r="J878" s="459"/>
    </row>
    <row r="879" spans="1:10" x14ac:dyDescent="0.25">
      <c r="A879" s="454" t="s">
        <v>161</v>
      </c>
      <c r="B879" s="455"/>
      <c r="C879" s="455"/>
      <c r="D879" s="456"/>
      <c r="E879" s="440"/>
      <c r="F879" s="440"/>
      <c r="G879" s="441"/>
      <c r="H879" s="441"/>
      <c r="I879" s="457"/>
      <c r="J879" s="457"/>
    </row>
    <row r="880" spans="1:10" x14ac:dyDescent="0.25">
      <c r="A880" s="449" t="s">
        <v>162</v>
      </c>
      <c r="B880" s="450"/>
      <c r="C880" s="450"/>
      <c r="D880" s="451"/>
      <c r="E880" s="458"/>
      <c r="F880" s="458"/>
      <c r="G880" s="458"/>
      <c r="H880" s="458"/>
      <c r="I880" s="459"/>
      <c r="J880" s="459"/>
    </row>
    <row r="881" spans="1:10" x14ac:dyDescent="0.25">
      <c r="A881" s="454" t="s">
        <v>163</v>
      </c>
      <c r="B881" s="455"/>
      <c r="C881" s="455"/>
      <c r="D881" s="456"/>
      <c r="E881" s="440"/>
      <c r="F881" s="440"/>
      <c r="G881" s="441"/>
      <c r="H881" s="441"/>
      <c r="I881" s="457"/>
      <c r="J881" s="457"/>
    </row>
    <row r="882" spans="1:10" x14ac:dyDescent="0.25">
      <c r="A882" s="449" t="s">
        <v>164</v>
      </c>
      <c r="B882" s="450"/>
      <c r="C882" s="450"/>
      <c r="D882" s="451"/>
      <c r="E882" s="452"/>
      <c r="F882" s="452"/>
      <c r="G882" s="452"/>
      <c r="H882" s="452"/>
      <c r="I882" s="453"/>
      <c r="J882" s="453"/>
    </row>
    <row r="883" spans="1:10" x14ac:dyDescent="0.25">
      <c r="A883" s="437"/>
      <c r="B883" s="438"/>
      <c r="C883" s="438"/>
      <c r="D883" s="439"/>
      <c r="E883" s="440"/>
      <c r="F883" s="440"/>
      <c r="G883" s="441"/>
      <c r="H883" s="441"/>
      <c r="I883" s="441"/>
      <c r="J883" s="441"/>
    </row>
    <row r="884" spans="1:10" x14ac:dyDescent="0.25">
      <c r="A884" s="437"/>
      <c r="B884" s="438"/>
      <c r="C884" s="438"/>
      <c r="D884" s="439"/>
      <c r="E884" s="440"/>
      <c r="F884" s="440"/>
      <c r="G884" s="441"/>
      <c r="H884" s="441"/>
      <c r="I884" s="441"/>
      <c r="J884" s="441"/>
    </row>
    <row r="885" spans="1:10" x14ac:dyDescent="0.25">
      <c r="A885" s="437"/>
      <c r="B885" s="438"/>
      <c r="C885" s="438"/>
      <c r="D885" s="439"/>
      <c r="E885" s="440"/>
      <c r="F885" s="440"/>
      <c r="G885" s="441"/>
      <c r="H885" s="441"/>
      <c r="I885" s="441"/>
      <c r="J885" s="441"/>
    </row>
    <row r="886" spans="1:10" x14ac:dyDescent="0.25">
      <c r="A886" s="442" t="s">
        <v>165</v>
      </c>
      <c r="B886" s="443"/>
      <c r="C886" s="443"/>
      <c r="D886" s="444"/>
      <c r="E886" s="445">
        <f>SUM(E876:E885)</f>
        <v>0</v>
      </c>
      <c r="F886" s="445"/>
      <c r="G886" s="445">
        <f>SUM(G876:G885)</f>
        <v>0</v>
      </c>
      <c r="H886" s="445"/>
      <c r="I886" s="445">
        <f>SUM(I876:I885)</f>
        <v>0</v>
      </c>
      <c r="J886" s="445"/>
    </row>
    <row r="887" spans="1:10" x14ac:dyDescent="0.25">
      <c r="A887" s="446" t="s">
        <v>166</v>
      </c>
      <c r="B887" s="447"/>
      <c r="C887" s="447"/>
      <c r="D887" s="447"/>
      <c r="E887" s="447"/>
      <c r="F887" s="447"/>
      <c r="G887" s="447"/>
      <c r="H887" s="447"/>
      <c r="I887" s="447"/>
      <c r="J887" s="448"/>
    </row>
    <row r="888" spans="1:10" x14ac:dyDescent="0.25">
      <c r="A888" s="423" t="s">
        <v>167</v>
      </c>
      <c r="B888" s="424"/>
      <c r="C888" s="424"/>
      <c r="D888" s="424"/>
      <c r="E888" s="424"/>
      <c r="F888" s="424"/>
      <c r="G888" s="424"/>
      <c r="H888" s="424"/>
      <c r="I888" s="424"/>
      <c r="J888" s="425"/>
    </row>
    <row r="889" spans="1:10" x14ac:dyDescent="0.25">
      <c r="A889" s="423" t="s">
        <v>168</v>
      </c>
      <c r="B889" s="424"/>
      <c r="C889" s="424"/>
      <c r="D889" s="424"/>
      <c r="E889" s="424"/>
      <c r="F889" s="424"/>
      <c r="G889" s="424"/>
      <c r="H889" s="424"/>
      <c r="I889" s="424"/>
      <c r="J889" s="425"/>
    </row>
    <row r="890" spans="1:10" x14ac:dyDescent="0.25">
      <c r="A890" s="426" t="s">
        <v>169</v>
      </c>
      <c r="B890" s="427"/>
      <c r="C890" s="427"/>
      <c r="D890" s="427"/>
      <c r="E890" s="427"/>
      <c r="F890" s="427"/>
      <c r="G890" s="427"/>
      <c r="H890" s="427"/>
      <c r="I890" s="427"/>
      <c r="J890" s="428"/>
    </row>
    <row r="891" spans="1:10" x14ac:dyDescent="0.25">
      <c r="A891" s="316"/>
      <c r="B891" s="429"/>
      <c r="C891" s="429"/>
      <c r="D891" s="429"/>
      <c r="E891" s="429"/>
      <c r="F891" s="429"/>
      <c r="G891" s="429"/>
      <c r="H891" s="429"/>
      <c r="I891" s="429"/>
      <c r="J891" s="430"/>
    </row>
    <row r="892" spans="1:10" x14ac:dyDescent="0.25">
      <c r="A892" s="431"/>
      <c r="B892" s="432"/>
      <c r="C892" s="432"/>
      <c r="D892" s="432"/>
      <c r="E892" s="432"/>
      <c r="F892" s="432"/>
      <c r="G892" s="432"/>
      <c r="H892" s="432"/>
      <c r="I892" s="432"/>
      <c r="J892" s="433"/>
    </row>
    <row r="893" spans="1:10" x14ac:dyDescent="0.25">
      <c r="A893" s="431"/>
      <c r="B893" s="432"/>
      <c r="C893" s="432"/>
      <c r="D893" s="432"/>
      <c r="E893" s="432"/>
      <c r="F893" s="432"/>
      <c r="G893" s="432"/>
      <c r="H893" s="432"/>
      <c r="I893" s="432"/>
      <c r="J893" s="433"/>
    </row>
    <row r="894" spans="1:10" x14ac:dyDescent="0.25">
      <c r="A894" s="431"/>
      <c r="B894" s="432"/>
      <c r="C894" s="432"/>
      <c r="D894" s="432"/>
      <c r="E894" s="432"/>
      <c r="F894" s="432"/>
      <c r="G894" s="432"/>
      <c r="H894" s="432"/>
      <c r="I894" s="432"/>
      <c r="J894" s="433"/>
    </row>
    <row r="895" spans="1:10" x14ac:dyDescent="0.25">
      <c r="A895" s="431"/>
      <c r="B895" s="432"/>
      <c r="C895" s="432"/>
      <c r="D895" s="432"/>
      <c r="E895" s="432"/>
      <c r="F895" s="432"/>
      <c r="G895" s="432"/>
      <c r="H895" s="432"/>
      <c r="I895" s="432"/>
      <c r="J895" s="433"/>
    </row>
    <row r="896" spans="1:10" x14ac:dyDescent="0.25">
      <c r="A896" s="431"/>
      <c r="B896" s="432"/>
      <c r="C896" s="432"/>
      <c r="D896" s="432"/>
      <c r="E896" s="432"/>
      <c r="F896" s="432"/>
      <c r="G896" s="432"/>
      <c r="H896" s="432"/>
      <c r="I896" s="432"/>
      <c r="J896" s="433"/>
    </row>
    <row r="897" spans="1:10" x14ac:dyDescent="0.25">
      <c r="A897" s="431"/>
      <c r="B897" s="432"/>
      <c r="C897" s="432"/>
      <c r="D897" s="432"/>
      <c r="E897" s="432"/>
      <c r="F897" s="432"/>
      <c r="G897" s="432"/>
      <c r="H897" s="432"/>
      <c r="I897" s="432"/>
      <c r="J897" s="433"/>
    </row>
    <row r="898" spans="1:10" x14ac:dyDescent="0.25">
      <c r="A898" s="431"/>
      <c r="B898" s="432"/>
      <c r="C898" s="432"/>
      <c r="D898" s="432"/>
      <c r="E898" s="432"/>
      <c r="F898" s="432"/>
      <c r="G898" s="432"/>
      <c r="H898" s="432"/>
      <c r="I898" s="432"/>
      <c r="J898" s="433"/>
    </row>
    <row r="899" spans="1:10" x14ac:dyDescent="0.25">
      <c r="A899" s="431"/>
      <c r="B899" s="432"/>
      <c r="C899" s="432"/>
      <c r="D899" s="432"/>
      <c r="E899" s="432"/>
      <c r="F899" s="432"/>
      <c r="G899" s="432"/>
      <c r="H899" s="432"/>
      <c r="I899" s="432"/>
      <c r="J899" s="433"/>
    </row>
    <row r="900" spans="1:10" x14ac:dyDescent="0.25">
      <c r="A900" s="431"/>
      <c r="B900" s="432"/>
      <c r="C900" s="432"/>
      <c r="D900" s="432"/>
      <c r="E900" s="432"/>
      <c r="F900" s="432"/>
      <c r="G900" s="432"/>
      <c r="H900" s="432"/>
      <c r="I900" s="432"/>
      <c r="J900" s="433"/>
    </row>
    <row r="901" spans="1:10" x14ac:dyDescent="0.25">
      <c r="A901" s="431"/>
      <c r="B901" s="432"/>
      <c r="C901" s="432"/>
      <c r="D901" s="432"/>
      <c r="E901" s="432"/>
      <c r="F901" s="432"/>
      <c r="G901" s="432"/>
      <c r="H901" s="432"/>
      <c r="I901" s="432"/>
      <c r="J901" s="433"/>
    </row>
    <row r="902" spans="1:10" x14ac:dyDescent="0.25">
      <c r="A902" s="431"/>
      <c r="B902" s="432"/>
      <c r="C902" s="432"/>
      <c r="D902" s="432"/>
      <c r="E902" s="432"/>
      <c r="F902" s="432"/>
      <c r="G902" s="432"/>
      <c r="H902" s="432"/>
      <c r="I902" s="432"/>
      <c r="J902" s="433"/>
    </row>
    <row r="903" spans="1:10" x14ac:dyDescent="0.25">
      <c r="A903" s="431"/>
      <c r="B903" s="432"/>
      <c r="C903" s="432"/>
      <c r="D903" s="432"/>
      <c r="E903" s="432"/>
      <c r="F903" s="432"/>
      <c r="G903" s="432"/>
      <c r="H903" s="432"/>
      <c r="I903" s="432"/>
      <c r="J903" s="433"/>
    </row>
    <row r="904" spans="1:10" x14ac:dyDescent="0.25">
      <c r="A904" s="431"/>
      <c r="B904" s="432"/>
      <c r="C904" s="432"/>
      <c r="D904" s="432"/>
      <c r="E904" s="432"/>
      <c r="F904" s="432"/>
      <c r="G904" s="432"/>
      <c r="H904" s="432"/>
      <c r="I904" s="432"/>
      <c r="J904" s="433"/>
    </row>
    <row r="905" spans="1:10" x14ac:dyDescent="0.25">
      <c r="A905" s="431"/>
      <c r="B905" s="432"/>
      <c r="C905" s="432"/>
      <c r="D905" s="432"/>
      <c r="E905" s="432"/>
      <c r="F905" s="432"/>
      <c r="G905" s="432"/>
      <c r="H905" s="432"/>
      <c r="I905" s="432"/>
      <c r="J905" s="433"/>
    </row>
    <row r="906" spans="1:10" x14ac:dyDescent="0.25">
      <c r="A906" s="431"/>
      <c r="B906" s="432"/>
      <c r="C906" s="432"/>
      <c r="D906" s="432"/>
      <c r="E906" s="432"/>
      <c r="F906" s="432"/>
      <c r="G906" s="432"/>
      <c r="H906" s="432"/>
      <c r="I906" s="432"/>
      <c r="J906" s="433"/>
    </row>
    <row r="907" spans="1:10" x14ac:dyDescent="0.25">
      <c r="A907" s="431"/>
      <c r="B907" s="432"/>
      <c r="C907" s="432"/>
      <c r="D907" s="432"/>
      <c r="E907" s="432"/>
      <c r="F907" s="432"/>
      <c r="G907" s="432"/>
      <c r="H907" s="432"/>
      <c r="I907" s="432"/>
      <c r="J907" s="433"/>
    </row>
    <row r="908" spans="1:10" x14ac:dyDescent="0.25">
      <c r="A908" s="431"/>
      <c r="B908" s="432"/>
      <c r="C908" s="432"/>
      <c r="D908" s="432"/>
      <c r="E908" s="432"/>
      <c r="F908" s="432"/>
      <c r="G908" s="432"/>
      <c r="H908" s="432"/>
      <c r="I908" s="432"/>
      <c r="J908" s="433"/>
    </row>
    <row r="909" spans="1:10" x14ac:dyDescent="0.25">
      <c r="A909" s="431"/>
      <c r="B909" s="432"/>
      <c r="C909" s="432"/>
      <c r="D909" s="432"/>
      <c r="E909" s="432"/>
      <c r="F909" s="432"/>
      <c r="G909" s="432"/>
      <c r="H909" s="432"/>
      <c r="I909" s="432"/>
      <c r="J909" s="433"/>
    </row>
    <row r="910" spans="1:10" x14ac:dyDescent="0.25">
      <c r="A910" s="431"/>
      <c r="B910" s="432"/>
      <c r="C910" s="432"/>
      <c r="D910" s="432"/>
      <c r="E910" s="432"/>
      <c r="F910" s="432"/>
      <c r="G910" s="432"/>
      <c r="H910" s="432"/>
      <c r="I910" s="432"/>
      <c r="J910" s="433"/>
    </row>
    <row r="911" spans="1:10" x14ac:dyDescent="0.25">
      <c r="A911" s="431"/>
      <c r="B911" s="432"/>
      <c r="C911" s="432"/>
      <c r="D911" s="432"/>
      <c r="E911" s="432"/>
      <c r="F911" s="432"/>
      <c r="G911" s="432"/>
      <c r="H911" s="432"/>
      <c r="I911" s="432"/>
      <c r="J911" s="433"/>
    </row>
    <row r="912" spans="1:10" x14ac:dyDescent="0.25">
      <c r="A912" s="431"/>
      <c r="B912" s="432"/>
      <c r="C912" s="432"/>
      <c r="D912" s="432"/>
      <c r="E912" s="432"/>
      <c r="F912" s="432"/>
      <c r="G912" s="432"/>
      <c r="H912" s="432"/>
      <c r="I912" s="432"/>
      <c r="J912" s="433"/>
    </row>
    <row r="913" spans="1:10" x14ac:dyDescent="0.25">
      <c r="A913" s="431"/>
      <c r="B913" s="432"/>
      <c r="C913" s="432"/>
      <c r="D913" s="432"/>
      <c r="E913" s="432"/>
      <c r="F913" s="432"/>
      <c r="G913" s="432"/>
      <c r="H913" s="432"/>
      <c r="I913" s="432"/>
      <c r="J913" s="433"/>
    </row>
    <row r="914" spans="1:10" x14ac:dyDescent="0.25">
      <c r="A914" s="431"/>
      <c r="B914" s="432"/>
      <c r="C914" s="432"/>
      <c r="D914" s="432"/>
      <c r="E914" s="432"/>
      <c r="F914" s="432"/>
      <c r="G914" s="432"/>
      <c r="H914" s="432"/>
      <c r="I914" s="432"/>
      <c r="J914" s="433"/>
    </row>
    <row r="915" spans="1:10" x14ac:dyDescent="0.25">
      <c r="A915" s="431"/>
      <c r="B915" s="432"/>
      <c r="C915" s="432"/>
      <c r="D915" s="432"/>
      <c r="E915" s="432"/>
      <c r="F915" s="432"/>
      <c r="G915" s="432"/>
      <c r="H915" s="432"/>
      <c r="I915" s="432"/>
      <c r="J915" s="433"/>
    </row>
    <row r="916" spans="1:10" x14ac:dyDescent="0.25">
      <c r="A916" s="431"/>
      <c r="B916" s="432"/>
      <c r="C916" s="432"/>
      <c r="D916" s="432"/>
      <c r="E916" s="432"/>
      <c r="F916" s="432"/>
      <c r="G916" s="432"/>
      <c r="H916" s="432"/>
      <c r="I916" s="432"/>
      <c r="J916" s="433"/>
    </row>
    <row r="917" spans="1:10" x14ac:dyDescent="0.25">
      <c r="A917" s="431"/>
      <c r="B917" s="432"/>
      <c r="C917" s="432"/>
      <c r="D917" s="432"/>
      <c r="E917" s="432"/>
      <c r="F917" s="432"/>
      <c r="G917" s="432"/>
      <c r="H917" s="432"/>
      <c r="I917" s="432"/>
      <c r="J917" s="433"/>
    </row>
    <row r="918" spans="1:10" x14ac:dyDescent="0.25">
      <c r="A918" s="431"/>
      <c r="B918" s="432"/>
      <c r="C918" s="432"/>
      <c r="D918" s="432"/>
      <c r="E918" s="432"/>
      <c r="F918" s="432"/>
      <c r="G918" s="432"/>
      <c r="H918" s="432"/>
      <c r="I918" s="432"/>
      <c r="J918" s="433"/>
    </row>
    <row r="919" spans="1:10" x14ac:dyDescent="0.25">
      <c r="A919" s="431"/>
      <c r="B919" s="432"/>
      <c r="C919" s="432"/>
      <c r="D919" s="432"/>
      <c r="E919" s="432"/>
      <c r="F919" s="432"/>
      <c r="G919" s="432"/>
      <c r="H919" s="432"/>
      <c r="I919" s="432"/>
      <c r="J919" s="433"/>
    </row>
    <row r="920" spans="1:10" x14ac:dyDescent="0.25">
      <c r="A920" s="431"/>
      <c r="B920" s="432"/>
      <c r="C920" s="432"/>
      <c r="D920" s="432"/>
      <c r="E920" s="432"/>
      <c r="F920" s="432"/>
      <c r="G920" s="432"/>
      <c r="H920" s="432"/>
      <c r="I920" s="432"/>
      <c r="J920" s="433"/>
    </row>
    <row r="921" spans="1:10" x14ac:dyDescent="0.25">
      <c r="A921" s="431"/>
      <c r="B921" s="432"/>
      <c r="C921" s="432"/>
      <c r="D921" s="432"/>
      <c r="E921" s="432"/>
      <c r="F921" s="432"/>
      <c r="G921" s="432"/>
      <c r="H921" s="432"/>
      <c r="I921" s="432"/>
      <c r="J921" s="433"/>
    </row>
    <row r="922" spans="1:10" x14ac:dyDescent="0.25">
      <c r="A922" s="431"/>
      <c r="B922" s="432"/>
      <c r="C922" s="432"/>
      <c r="D922" s="432"/>
      <c r="E922" s="432"/>
      <c r="F922" s="432"/>
      <c r="G922" s="432"/>
      <c r="H922" s="432"/>
      <c r="I922" s="432"/>
      <c r="J922" s="433"/>
    </row>
    <row r="923" spans="1:10" x14ac:dyDescent="0.25">
      <c r="A923" s="431"/>
      <c r="B923" s="432"/>
      <c r="C923" s="432"/>
      <c r="D923" s="432"/>
      <c r="E923" s="432"/>
      <c r="F923" s="432"/>
      <c r="G923" s="432"/>
      <c r="H923" s="432"/>
      <c r="I923" s="432"/>
      <c r="J923" s="433"/>
    </row>
    <row r="924" spans="1:10" x14ac:dyDescent="0.25">
      <c r="A924" s="431"/>
      <c r="B924" s="432"/>
      <c r="C924" s="432"/>
      <c r="D924" s="432"/>
      <c r="E924" s="432"/>
      <c r="F924" s="432"/>
      <c r="G924" s="432"/>
      <c r="H924" s="432"/>
      <c r="I924" s="432"/>
      <c r="J924" s="433"/>
    </row>
    <row r="925" spans="1:10" x14ac:dyDescent="0.25">
      <c r="A925" s="434"/>
      <c r="B925" s="435"/>
      <c r="C925" s="435"/>
      <c r="D925" s="435"/>
      <c r="E925" s="435"/>
      <c r="F925" s="435"/>
      <c r="G925" s="435"/>
      <c r="H925" s="435"/>
      <c r="I925" s="435"/>
      <c r="J925" s="436"/>
    </row>
    <row r="927" spans="1:10" ht="8.4" customHeight="1" x14ac:dyDescent="0.25"/>
    <row r="932" ht="27" customHeight="1" x14ac:dyDescent="0.25"/>
    <row r="985" ht="8.1" customHeight="1" x14ac:dyDescent="0.25"/>
    <row r="99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867">
    <mergeCell ref="H41:J41"/>
    <mergeCell ref="H20:J20"/>
    <mergeCell ref="A139:D139"/>
    <mergeCell ref="A140:D140"/>
    <mergeCell ref="G140:H140"/>
    <mergeCell ref="A141:D141"/>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E180:J180"/>
    <mergeCell ref="E181:J181"/>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5:J235"/>
    <mergeCell ref="A238:D238"/>
    <mergeCell ref="E238:F238"/>
    <mergeCell ref="E233:J233"/>
    <mergeCell ref="E234:J23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30:D530"/>
    <mergeCell ref="E530:F530"/>
    <mergeCell ref="G530:H530"/>
    <mergeCell ref="I530:J530"/>
    <mergeCell ref="A521:G521"/>
    <mergeCell ref="H521:J521"/>
    <mergeCell ref="A528:D528"/>
    <mergeCell ref="E528:F528"/>
    <mergeCell ref="G528:H528"/>
    <mergeCell ref="I528:J528"/>
    <mergeCell ref="A523:J523"/>
    <mergeCell ref="A524:D524"/>
    <mergeCell ref="E524:J525"/>
    <mergeCell ref="A525:D525"/>
    <mergeCell ref="A526:D526"/>
    <mergeCell ref="E526:J526"/>
    <mergeCell ref="A529:D529"/>
    <mergeCell ref="E529:F529"/>
    <mergeCell ref="G529:H529"/>
    <mergeCell ref="I529:J529"/>
    <mergeCell ref="E527:F527"/>
    <mergeCell ref="G527:H527"/>
    <mergeCell ref="I527:J527"/>
    <mergeCell ref="A531:D531"/>
    <mergeCell ref="E531:F531"/>
    <mergeCell ref="G531:H531"/>
    <mergeCell ref="I531:J531"/>
    <mergeCell ref="A532:D532"/>
    <mergeCell ref="E532:F532"/>
    <mergeCell ref="G532:H532"/>
    <mergeCell ref="I532:J532"/>
    <mergeCell ref="A533:D533"/>
    <mergeCell ref="E533:F533"/>
    <mergeCell ref="G533:H533"/>
    <mergeCell ref="I533:J533"/>
    <mergeCell ref="A534:D534"/>
    <mergeCell ref="E534:F534"/>
    <mergeCell ref="G534:H534"/>
    <mergeCell ref="I534:J534"/>
    <mergeCell ref="A535:D535"/>
    <mergeCell ref="E535:F535"/>
    <mergeCell ref="G535:H535"/>
    <mergeCell ref="I535:J535"/>
    <mergeCell ref="A536:D536"/>
    <mergeCell ref="E536:F536"/>
    <mergeCell ref="G536:H536"/>
    <mergeCell ref="I536:J536"/>
    <mergeCell ref="A537:D537"/>
    <mergeCell ref="E537:F537"/>
    <mergeCell ref="G537:H537"/>
    <mergeCell ref="I537:J537"/>
    <mergeCell ref="A538:D538"/>
    <mergeCell ref="E538:F538"/>
    <mergeCell ref="G538:H538"/>
    <mergeCell ref="I538:J538"/>
    <mergeCell ref="A539:J539"/>
    <mergeCell ref="A540:J540"/>
    <mergeCell ref="A541:J541"/>
    <mergeCell ref="A542:J542"/>
    <mergeCell ref="A543:J577"/>
    <mergeCell ref="A579:G579"/>
    <mergeCell ref="H579:J579"/>
    <mergeCell ref="A581:J581"/>
    <mergeCell ref="A582:D582"/>
    <mergeCell ref="E582:J583"/>
    <mergeCell ref="A583:D583"/>
    <mergeCell ref="A584:D584"/>
    <mergeCell ref="E584:J584"/>
    <mergeCell ref="E585:F585"/>
    <mergeCell ref="G585:H585"/>
    <mergeCell ref="I585:J585"/>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D596"/>
    <mergeCell ref="E596:F596"/>
    <mergeCell ref="G596:H596"/>
    <mergeCell ref="I596:J596"/>
    <mergeCell ref="A597:J597"/>
    <mergeCell ref="A598:J598"/>
    <mergeCell ref="A599:J599"/>
    <mergeCell ref="A600:J600"/>
    <mergeCell ref="A601:J635"/>
    <mergeCell ref="A637:G637"/>
    <mergeCell ref="H637:J637"/>
    <mergeCell ref="A639:J639"/>
    <mergeCell ref="A640:D640"/>
    <mergeCell ref="E640:J641"/>
    <mergeCell ref="A641:D641"/>
    <mergeCell ref="A642:D642"/>
    <mergeCell ref="E642:J642"/>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D654"/>
    <mergeCell ref="E654:F654"/>
    <mergeCell ref="G654:H654"/>
    <mergeCell ref="I654:J654"/>
    <mergeCell ref="A655:J655"/>
    <mergeCell ref="A656:J656"/>
    <mergeCell ref="A657:J657"/>
    <mergeCell ref="A658:J658"/>
    <mergeCell ref="A659:J693"/>
    <mergeCell ref="A695:G695"/>
    <mergeCell ref="H695:J695"/>
    <mergeCell ref="A697:J697"/>
    <mergeCell ref="A698:D698"/>
    <mergeCell ref="E698:J699"/>
    <mergeCell ref="A699:D699"/>
    <mergeCell ref="A700:D700"/>
    <mergeCell ref="E700:J700"/>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D712"/>
    <mergeCell ref="E712:F712"/>
    <mergeCell ref="G712:H712"/>
    <mergeCell ref="I712:J712"/>
    <mergeCell ref="A713:J713"/>
    <mergeCell ref="A714:J714"/>
    <mergeCell ref="A715:J715"/>
    <mergeCell ref="A716:J716"/>
    <mergeCell ref="A717:J751"/>
    <mergeCell ref="A753:G753"/>
    <mergeCell ref="H753:J753"/>
    <mergeCell ref="A755:J755"/>
    <mergeCell ref="A756:D756"/>
    <mergeCell ref="E756:J757"/>
    <mergeCell ref="A757:D757"/>
    <mergeCell ref="A758:D758"/>
    <mergeCell ref="E758:J758"/>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D770"/>
    <mergeCell ref="E770:F770"/>
    <mergeCell ref="G770:H770"/>
    <mergeCell ref="I770:J770"/>
    <mergeCell ref="A771:J771"/>
    <mergeCell ref="A772:J772"/>
    <mergeCell ref="A773:J773"/>
    <mergeCell ref="A774:J774"/>
    <mergeCell ref="A775:J809"/>
    <mergeCell ref="A811:G811"/>
    <mergeCell ref="H811:J811"/>
    <mergeCell ref="A813:J813"/>
    <mergeCell ref="A814:D814"/>
    <mergeCell ref="E814:J815"/>
    <mergeCell ref="A815:D815"/>
    <mergeCell ref="A816:D816"/>
    <mergeCell ref="E816:J816"/>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D828"/>
    <mergeCell ref="E828:F828"/>
    <mergeCell ref="G828:H828"/>
    <mergeCell ref="I828:J828"/>
    <mergeCell ref="A829:J829"/>
    <mergeCell ref="A830:J830"/>
    <mergeCell ref="A831:J831"/>
    <mergeCell ref="A832:J832"/>
    <mergeCell ref="A833:J867"/>
    <mergeCell ref="A869:G869"/>
    <mergeCell ref="H869:J869"/>
    <mergeCell ref="A871:J871"/>
    <mergeCell ref="A872:D872"/>
    <mergeCell ref="E872:J873"/>
    <mergeCell ref="A873:D873"/>
    <mergeCell ref="A874:D874"/>
    <mergeCell ref="E874:J874"/>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8:J888"/>
    <mergeCell ref="A889:J889"/>
    <mergeCell ref="A890:J890"/>
    <mergeCell ref="A891:J925"/>
    <mergeCell ref="A885:D885"/>
    <mergeCell ref="E885:F885"/>
    <mergeCell ref="G885:H885"/>
    <mergeCell ref="I885:J885"/>
    <mergeCell ref="A886:D886"/>
    <mergeCell ref="E886:F886"/>
    <mergeCell ref="G886:H886"/>
    <mergeCell ref="I886:J886"/>
    <mergeCell ref="A887:J887"/>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4:J534 E592:J592 E650:J650 E708:J708 E766:J766 E824:J824 E882:J882" xr:uid="{00000000-0002-0000-0500-000000000000}"/>
    <dataValidation type="whole" allowBlank="1" showInputMessage="1" showErrorMessage="1" error="Must enter amount in whole dollars." sqref="E883:F885 E139:F141 E136:F136 E191:F193 G184:J189 E244:F246 G237:J242 E302:F304 E295:F297 E360:F362 E353:F355 E418:F420 E469:J474 E476:F478 E528:J533 E535:F537 E586:J591 E593:F595 E644:J649 E651:F653 E702:J707 E709:F711 E760:J765 E767:F769 E818:J823 E825:F827 E876:J881 G132:J137 E132:F134 G295:J300 G353:J358 G411:J416 E411:F413"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5:J537 G593:J595 G651:J653 G709:J711 G767:J769 G825:J827 G883:J885"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5:D537 A593:D595 A651:D653 A709:D711 A767:D769 A825:D827 A883:D885"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8:J538 E596:J596 E654:J654 E712:J712 E770:J770 E828:J828 E886:J886"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6:J526 E584:J584 E642:J642 E700:J700 E758:J758 E816:J816 E874:J874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872:J873 E814:J815 E756:J757 E698:J699"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17:J751"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1:J925 A199:J226 A252:J285 A310:J344 A368:J402 A426:J460 A484:J518 A543:J577 A601:J635 A775:J809 A833:J867"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659:J693"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2" t="s">
        <v>76</v>
      </c>
      <c r="B1" s="373"/>
      <c r="C1" s="373"/>
      <c r="D1" s="373"/>
      <c r="E1" s="373"/>
      <c r="F1" s="373"/>
      <c r="G1" s="373"/>
      <c r="H1" s="370" t="str">
        <f>'CONTACT INFORMATION'!$A$24</f>
        <v>Ventura</v>
      </c>
      <c r="I1" s="370"/>
      <c r="J1" s="371"/>
    </row>
    <row r="2" spans="1:10" x14ac:dyDescent="0.25">
      <c r="A2" s="152"/>
      <c r="B2" s="152"/>
      <c r="C2" s="152"/>
      <c r="D2" s="152"/>
      <c r="E2" s="152"/>
      <c r="F2" s="152"/>
      <c r="G2" s="152"/>
      <c r="H2" s="152"/>
      <c r="I2" s="152"/>
      <c r="J2" s="152"/>
    </row>
    <row r="3" spans="1:10" ht="13.8" x14ac:dyDescent="0.25">
      <c r="A3" s="460" t="s">
        <v>202</v>
      </c>
      <c r="B3" s="461"/>
      <c r="C3" s="461"/>
      <c r="D3" s="461"/>
      <c r="E3" s="461"/>
      <c r="F3" s="461"/>
      <c r="G3" s="461"/>
      <c r="H3" s="461"/>
      <c r="I3" s="461"/>
      <c r="J3" s="462"/>
    </row>
    <row r="4" spans="1:10" x14ac:dyDescent="0.25">
      <c r="A4" s="463" t="s">
        <v>151</v>
      </c>
      <c r="B4" s="464"/>
      <c r="C4" s="464"/>
      <c r="D4" s="465"/>
      <c r="E4" s="466"/>
      <c r="F4" s="467"/>
      <c r="G4" s="467"/>
      <c r="H4" s="467"/>
      <c r="I4" s="467"/>
      <c r="J4" s="468"/>
    </row>
    <row r="5" spans="1:10" x14ac:dyDescent="0.25">
      <c r="A5" s="472" t="s">
        <v>181</v>
      </c>
      <c r="B5" s="473"/>
      <c r="C5" s="473"/>
      <c r="D5" s="474"/>
      <c r="E5" s="469"/>
      <c r="F5" s="470"/>
      <c r="G5" s="470"/>
      <c r="H5" s="470"/>
      <c r="I5" s="470"/>
      <c r="J5" s="471"/>
    </row>
    <row r="6" spans="1:10" x14ac:dyDescent="0.25">
      <c r="A6" s="475" t="s">
        <v>182</v>
      </c>
      <c r="B6" s="476"/>
      <c r="C6" s="476"/>
      <c r="D6" s="477"/>
      <c r="E6" s="593"/>
      <c r="F6" s="594"/>
      <c r="G6" s="594"/>
      <c r="H6" s="594"/>
      <c r="I6" s="594"/>
      <c r="J6" s="595"/>
    </row>
    <row r="7" spans="1:10" x14ac:dyDescent="0.25">
      <c r="A7" s="146"/>
      <c r="B7" s="220"/>
      <c r="C7" s="220"/>
      <c r="D7" s="220"/>
      <c r="E7" s="481" t="s">
        <v>155</v>
      </c>
      <c r="F7" s="482"/>
      <c r="G7" s="481" t="s">
        <v>156</v>
      </c>
      <c r="H7" s="482"/>
      <c r="I7" s="483" t="s">
        <v>157</v>
      </c>
      <c r="J7" s="484"/>
    </row>
    <row r="8" spans="1:10" x14ac:dyDescent="0.25">
      <c r="A8" s="449" t="s">
        <v>158</v>
      </c>
      <c r="B8" s="450"/>
      <c r="C8" s="450"/>
      <c r="D8" s="451"/>
      <c r="E8" s="458"/>
      <c r="F8" s="458"/>
      <c r="G8" s="458"/>
      <c r="H8" s="458"/>
      <c r="I8" s="459"/>
      <c r="J8" s="459"/>
    </row>
    <row r="9" spans="1:10" x14ac:dyDescent="0.25">
      <c r="A9" s="454" t="s">
        <v>159</v>
      </c>
      <c r="B9" s="455"/>
      <c r="C9" s="455"/>
      <c r="D9" s="456"/>
      <c r="E9" s="440"/>
      <c r="F9" s="440"/>
      <c r="G9" s="441"/>
      <c r="H9" s="441"/>
      <c r="I9" s="457"/>
      <c r="J9" s="457"/>
    </row>
    <row r="10" spans="1:10" x14ac:dyDescent="0.25">
      <c r="A10" s="449" t="s">
        <v>160</v>
      </c>
      <c r="B10" s="450"/>
      <c r="C10" s="450"/>
      <c r="D10" s="451"/>
      <c r="E10" s="458"/>
      <c r="F10" s="458"/>
      <c r="G10" s="458"/>
      <c r="H10" s="458"/>
      <c r="I10" s="459"/>
      <c r="J10" s="459"/>
    </row>
    <row r="11" spans="1:10" x14ac:dyDescent="0.25">
      <c r="A11" s="454" t="s">
        <v>161</v>
      </c>
      <c r="B11" s="455"/>
      <c r="C11" s="455"/>
      <c r="D11" s="456"/>
      <c r="E11" s="440"/>
      <c r="F11" s="440"/>
      <c r="G11" s="441"/>
      <c r="H11" s="441"/>
      <c r="I11" s="457"/>
      <c r="J11" s="457"/>
    </row>
    <row r="12" spans="1:10" x14ac:dyDescent="0.25">
      <c r="A12" s="449" t="s">
        <v>162</v>
      </c>
      <c r="B12" s="450"/>
      <c r="C12" s="450"/>
      <c r="D12" s="451"/>
      <c r="E12" s="458"/>
      <c r="F12" s="458"/>
      <c r="G12" s="458"/>
      <c r="H12" s="458"/>
      <c r="I12" s="459"/>
      <c r="J12" s="459"/>
    </row>
    <row r="13" spans="1:10" x14ac:dyDescent="0.25">
      <c r="A13" s="454" t="s">
        <v>163</v>
      </c>
      <c r="B13" s="455"/>
      <c r="C13" s="455"/>
      <c r="D13" s="456"/>
      <c r="E13" s="440"/>
      <c r="F13" s="440"/>
      <c r="G13" s="441"/>
      <c r="H13" s="441"/>
      <c r="I13" s="457"/>
      <c r="J13" s="457"/>
    </row>
    <row r="14" spans="1:10" x14ac:dyDescent="0.25">
      <c r="A14" s="449" t="s">
        <v>164</v>
      </c>
      <c r="B14" s="450"/>
      <c r="C14" s="450"/>
      <c r="D14" s="451"/>
      <c r="E14" s="452"/>
      <c r="F14" s="452"/>
      <c r="G14" s="452"/>
      <c r="H14" s="452"/>
      <c r="I14" s="453"/>
      <c r="J14" s="453"/>
    </row>
    <row r="15" spans="1:10" x14ac:dyDescent="0.25">
      <c r="A15" s="437"/>
      <c r="B15" s="438"/>
      <c r="C15" s="438"/>
      <c r="D15" s="439"/>
      <c r="E15" s="440"/>
      <c r="F15" s="440"/>
      <c r="G15" s="441"/>
      <c r="H15" s="441"/>
      <c r="I15" s="441"/>
      <c r="J15" s="441"/>
    </row>
    <row r="16" spans="1:10" x14ac:dyDescent="0.25">
      <c r="A16" s="437"/>
      <c r="B16" s="438"/>
      <c r="C16" s="438"/>
      <c r="D16" s="439"/>
      <c r="E16" s="440"/>
      <c r="F16" s="440"/>
      <c r="G16" s="441"/>
      <c r="H16" s="441"/>
      <c r="I16" s="441"/>
      <c r="J16" s="441"/>
    </row>
    <row r="17" spans="1:10" x14ac:dyDescent="0.25">
      <c r="A17" s="437"/>
      <c r="B17" s="438"/>
      <c r="C17" s="438"/>
      <c r="D17" s="439"/>
      <c r="E17" s="440"/>
      <c r="F17" s="440"/>
      <c r="G17" s="441"/>
      <c r="H17" s="441"/>
      <c r="I17" s="441"/>
      <c r="J17" s="441"/>
    </row>
    <row r="18" spans="1:10" x14ac:dyDescent="0.25">
      <c r="A18" s="442" t="s">
        <v>165</v>
      </c>
      <c r="B18" s="443"/>
      <c r="C18" s="443"/>
      <c r="D18" s="444"/>
      <c r="E18" s="445">
        <f>SUM(E8:E17)</f>
        <v>0</v>
      </c>
      <c r="F18" s="445"/>
      <c r="G18" s="445">
        <f>SUM(G8:G17)</f>
        <v>0</v>
      </c>
      <c r="H18" s="445"/>
      <c r="I18" s="445">
        <f>SUM(I8:I17)</f>
        <v>0</v>
      </c>
      <c r="J18" s="445"/>
    </row>
    <row r="19" spans="1:10" x14ac:dyDescent="0.25">
      <c r="A19" s="446" t="s">
        <v>166</v>
      </c>
      <c r="B19" s="447"/>
      <c r="C19" s="447"/>
      <c r="D19" s="447"/>
      <c r="E19" s="447"/>
      <c r="F19" s="447"/>
      <c r="G19" s="447"/>
      <c r="H19" s="447"/>
      <c r="I19" s="447"/>
      <c r="J19" s="448"/>
    </row>
    <row r="20" spans="1:10" x14ac:dyDescent="0.25">
      <c r="A20" s="423" t="s">
        <v>167</v>
      </c>
      <c r="B20" s="424"/>
      <c r="C20" s="424"/>
      <c r="D20" s="424"/>
      <c r="E20" s="424"/>
      <c r="F20" s="424"/>
      <c r="G20" s="424"/>
      <c r="H20" s="424"/>
      <c r="I20" s="424"/>
      <c r="J20" s="425"/>
    </row>
    <row r="21" spans="1:10" x14ac:dyDescent="0.25">
      <c r="A21" s="423" t="s">
        <v>168</v>
      </c>
      <c r="B21" s="424"/>
      <c r="C21" s="424"/>
      <c r="D21" s="424"/>
      <c r="E21" s="424"/>
      <c r="F21" s="424"/>
      <c r="G21" s="424"/>
      <c r="H21" s="424"/>
      <c r="I21" s="424"/>
      <c r="J21" s="425"/>
    </row>
    <row r="22" spans="1:10" x14ac:dyDescent="0.25">
      <c r="A22" s="426" t="s">
        <v>169</v>
      </c>
      <c r="B22" s="427"/>
      <c r="C22" s="427"/>
      <c r="D22" s="427"/>
      <c r="E22" s="427"/>
      <c r="F22" s="427"/>
      <c r="G22" s="427"/>
      <c r="H22" s="427"/>
      <c r="I22" s="427"/>
      <c r="J22" s="428"/>
    </row>
    <row r="23" spans="1:10" x14ac:dyDescent="0.25">
      <c r="A23" s="316"/>
      <c r="B23" s="429"/>
      <c r="C23" s="429"/>
      <c r="D23" s="429"/>
      <c r="E23" s="429"/>
      <c r="F23" s="429"/>
      <c r="G23" s="429"/>
      <c r="H23" s="429"/>
      <c r="I23" s="429"/>
      <c r="J23" s="430"/>
    </row>
    <row r="24" spans="1:10" x14ac:dyDescent="0.25">
      <c r="A24" s="431"/>
      <c r="B24" s="432"/>
      <c r="C24" s="432"/>
      <c r="D24" s="432"/>
      <c r="E24" s="432"/>
      <c r="F24" s="432"/>
      <c r="G24" s="432"/>
      <c r="H24" s="432"/>
      <c r="I24" s="432"/>
      <c r="J24" s="433"/>
    </row>
    <row r="25" spans="1:10" x14ac:dyDescent="0.25">
      <c r="A25" s="431"/>
      <c r="B25" s="432"/>
      <c r="C25" s="432"/>
      <c r="D25" s="432"/>
      <c r="E25" s="432"/>
      <c r="F25" s="432"/>
      <c r="G25" s="432"/>
      <c r="H25" s="432"/>
      <c r="I25" s="432"/>
      <c r="J25" s="433"/>
    </row>
    <row r="26" spans="1:10" x14ac:dyDescent="0.25">
      <c r="A26" s="431"/>
      <c r="B26" s="432"/>
      <c r="C26" s="432"/>
      <c r="D26" s="432"/>
      <c r="E26" s="432"/>
      <c r="F26" s="432"/>
      <c r="G26" s="432"/>
      <c r="H26" s="432"/>
      <c r="I26" s="432"/>
      <c r="J26" s="433"/>
    </row>
    <row r="27" spans="1:10" x14ac:dyDescent="0.25">
      <c r="A27" s="431"/>
      <c r="B27" s="432"/>
      <c r="C27" s="432"/>
      <c r="D27" s="432"/>
      <c r="E27" s="432"/>
      <c r="F27" s="432"/>
      <c r="G27" s="432"/>
      <c r="H27" s="432"/>
      <c r="I27" s="432"/>
      <c r="J27" s="433"/>
    </row>
    <row r="28" spans="1:10" x14ac:dyDescent="0.25">
      <c r="A28" s="431"/>
      <c r="B28" s="432"/>
      <c r="C28" s="432"/>
      <c r="D28" s="432"/>
      <c r="E28" s="432"/>
      <c r="F28" s="432"/>
      <c r="G28" s="432"/>
      <c r="H28" s="432"/>
      <c r="I28" s="432"/>
      <c r="J28" s="433"/>
    </row>
    <row r="29" spans="1:10" x14ac:dyDescent="0.25">
      <c r="A29" s="431"/>
      <c r="B29" s="432"/>
      <c r="C29" s="432"/>
      <c r="D29" s="432"/>
      <c r="E29" s="432"/>
      <c r="F29" s="432"/>
      <c r="G29" s="432"/>
      <c r="H29" s="432"/>
      <c r="I29" s="432"/>
      <c r="J29" s="433"/>
    </row>
    <row r="30" spans="1:10" x14ac:dyDescent="0.25">
      <c r="A30" s="431"/>
      <c r="B30" s="432"/>
      <c r="C30" s="432"/>
      <c r="D30" s="432"/>
      <c r="E30" s="432"/>
      <c r="F30" s="432"/>
      <c r="G30" s="432"/>
      <c r="H30" s="432"/>
      <c r="I30" s="432"/>
      <c r="J30" s="433"/>
    </row>
    <row r="31" spans="1:10" x14ac:dyDescent="0.25">
      <c r="A31" s="431"/>
      <c r="B31" s="432"/>
      <c r="C31" s="432"/>
      <c r="D31" s="432"/>
      <c r="E31" s="432"/>
      <c r="F31" s="432"/>
      <c r="G31" s="432"/>
      <c r="H31" s="432"/>
      <c r="I31" s="432"/>
      <c r="J31" s="433"/>
    </row>
    <row r="32" spans="1:10" x14ac:dyDescent="0.25">
      <c r="A32" s="431"/>
      <c r="B32" s="432"/>
      <c r="C32" s="432"/>
      <c r="D32" s="432"/>
      <c r="E32" s="432"/>
      <c r="F32" s="432"/>
      <c r="G32" s="432"/>
      <c r="H32" s="432"/>
      <c r="I32" s="432"/>
      <c r="J32" s="433"/>
    </row>
    <row r="33" spans="1:10" x14ac:dyDescent="0.25">
      <c r="A33" s="431"/>
      <c r="B33" s="432"/>
      <c r="C33" s="432"/>
      <c r="D33" s="432"/>
      <c r="E33" s="432"/>
      <c r="F33" s="432"/>
      <c r="G33" s="432"/>
      <c r="H33" s="432"/>
      <c r="I33" s="432"/>
      <c r="J33" s="433"/>
    </row>
    <row r="34" spans="1:10" x14ac:dyDescent="0.25">
      <c r="A34" s="431"/>
      <c r="B34" s="432"/>
      <c r="C34" s="432"/>
      <c r="D34" s="432"/>
      <c r="E34" s="432"/>
      <c r="F34" s="432"/>
      <c r="G34" s="432"/>
      <c r="H34" s="432"/>
      <c r="I34" s="432"/>
      <c r="J34" s="433"/>
    </row>
    <row r="35" spans="1:10" x14ac:dyDescent="0.25">
      <c r="A35" s="431"/>
      <c r="B35" s="432"/>
      <c r="C35" s="432"/>
      <c r="D35" s="432"/>
      <c r="E35" s="432"/>
      <c r="F35" s="432"/>
      <c r="G35" s="432"/>
      <c r="H35" s="432"/>
      <c r="I35" s="432"/>
      <c r="J35" s="433"/>
    </row>
    <row r="36" spans="1:10" x14ac:dyDescent="0.25">
      <c r="A36" s="431"/>
      <c r="B36" s="432"/>
      <c r="C36" s="432"/>
      <c r="D36" s="432"/>
      <c r="E36" s="432"/>
      <c r="F36" s="432"/>
      <c r="G36" s="432"/>
      <c r="H36" s="432"/>
      <c r="I36" s="432"/>
      <c r="J36" s="433"/>
    </row>
    <row r="37" spans="1:10" x14ac:dyDescent="0.25">
      <c r="A37" s="431"/>
      <c r="B37" s="432"/>
      <c r="C37" s="432"/>
      <c r="D37" s="432"/>
      <c r="E37" s="432"/>
      <c r="F37" s="432"/>
      <c r="G37" s="432"/>
      <c r="H37" s="432"/>
      <c r="I37" s="432"/>
      <c r="J37" s="433"/>
    </row>
    <row r="38" spans="1:10" x14ac:dyDescent="0.25">
      <c r="A38" s="431"/>
      <c r="B38" s="432"/>
      <c r="C38" s="432"/>
      <c r="D38" s="432"/>
      <c r="E38" s="432"/>
      <c r="F38" s="432"/>
      <c r="G38" s="432"/>
      <c r="H38" s="432"/>
      <c r="I38" s="432"/>
      <c r="J38" s="433"/>
    </row>
    <row r="39" spans="1:10" x14ac:dyDescent="0.25">
      <c r="A39" s="431"/>
      <c r="B39" s="432"/>
      <c r="C39" s="432"/>
      <c r="D39" s="432"/>
      <c r="E39" s="432"/>
      <c r="F39" s="432"/>
      <c r="G39" s="432"/>
      <c r="H39" s="432"/>
      <c r="I39" s="432"/>
      <c r="J39" s="433"/>
    </row>
    <row r="40" spans="1:10" x14ac:dyDescent="0.25">
      <c r="A40" s="431"/>
      <c r="B40" s="432"/>
      <c r="C40" s="432"/>
      <c r="D40" s="432"/>
      <c r="E40" s="432"/>
      <c r="F40" s="432"/>
      <c r="G40" s="432"/>
      <c r="H40" s="432"/>
      <c r="I40" s="432"/>
      <c r="J40" s="433"/>
    </row>
    <row r="41" spans="1:10" x14ac:dyDescent="0.25">
      <c r="A41" s="431"/>
      <c r="B41" s="432"/>
      <c r="C41" s="432"/>
      <c r="D41" s="432"/>
      <c r="E41" s="432"/>
      <c r="F41" s="432"/>
      <c r="G41" s="432"/>
      <c r="H41" s="432"/>
      <c r="I41" s="432"/>
      <c r="J41" s="433"/>
    </row>
    <row r="42" spans="1:10" x14ac:dyDescent="0.25">
      <c r="A42" s="431"/>
      <c r="B42" s="432"/>
      <c r="C42" s="432"/>
      <c r="D42" s="432"/>
      <c r="E42" s="432"/>
      <c r="F42" s="432"/>
      <c r="G42" s="432"/>
      <c r="H42" s="432"/>
      <c r="I42" s="432"/>
      <c r="J42" s="433"/>
    </row>
    <row r="43" spans="1:10" x14ac:dyDescent="0.25">
      <c r="A43" s="431"/>
      <c r="B43" s="432"/>
      <c r="C43" s="432"/>
      <c r="D43" s="432"/>
      <c r="E43" s="432"/>
      <c r="F43" s="432"/>
      <c r="G43" s="432"/>
      <c r="H43" s="432"/>
      <c r="I43" s="432"/>
      <c r="J43" s="433"/>
    </row>
    <row r="44" spans="1:10" x14ac:dyDescent="0.25">
      <c r="A44" s="431"/>
      <c r="B44" s="432"/>
      <c r="C44" s="432"/>
      <c r="D44" s="432"/>
      <c r="E44" s="432"/>
      <c r="F44" s="432"/>
      <c r="G44" s="432"/>
      <c r="H44" s="432"/>
      <c r="I44" s="432"/>
      <c r="J44" s="433"/>
    </row>
    <row r="45" spans="1:10" x14ac:dyDescent="0.25">
      <c r="A45" s="431"/>
      <c r="B45" s="432"/>
      <c r="C45" s="432"/>
      <c r="D45" s="432"/>
      <c r="E45" s="432"/>
      <c r="F45" s="432"/>
      <c r="G45" s="432"/>
      <c r="H45" s="432"/>
      <c r="I45" s="432"/>
      <c r="J45" s="433"/>
    </row>
    <row r="46" spans="1:10" x14ac:dyDescent="0.25">
      <c r="A46" s="431"/>
      <c r="B46" s="432"/>
      <c r="C46" s="432"/>
      <c r="D46" s="432"/>
      <c r="E46" s="432"/>
      <c r="F46" s="432"/>
      <c r="G46" s="432"/>
      <c r="H46" s="432"/>
      <c r="I46" s="432"/>
      <c r="J46" s="433"/>
    </row>
    <row r="47" spans="1:10" x14ac:dyDescent="0.25">
      <c r="A47" s="431"/>
      <c r="B47" s="432"/>
      <c r="C47" s="432"/>
      <c r="D47" s="432"/>
      <c r="E47" s="432"/>
      <c r="F47" s="432"/>
      <c r="G47" s="432"/>
      <c r="H47" s="432"/>
      <c r="I47" s="432"/>
      <c r="J47" s="433"/>
    </row>
    <row r="48" spans="1:10" x14ac:dyDescent="0.25">
      <c r="A48" s="431"/>
      <c r="B48" s="432"/>
      <c r="C48" s="432"/>
      <c r="D48" s="432"/>
      <c r="E48" s="432"/>
      <c r="F48" s="432"/>
      <c r="G48" s="432"/>
      <c r="H48" s="432"/>
      <c r="I48" s="432"/>
      <c r="J48" s="433"/>
    </row>
    <row r="49" spans="1:10" x14ac:dyDescent="0.25">
      <c r="A49" s="431"/>
      <c r="B49" s="432"/>
      <c r="C49" s="432"/>
      <c r="D49" s="432"/>
      <c r="E49" s="432"/>
      <c r="F49" s="432"/>
      <c r="G49" s="432"/>
      <c r="H49" s="432"/>
      <c r="I49" s="432"/>
      <c r="J49" s="433"/>
    </row>
    <row r="50" spans="1:10" x14ac:dyDescent="0.25">
      <c r="A50" s="431"/>
      <c r="B50" s="432"/>
      <c r="C50" s="432"/>
      <c r="D50" s="432"/>
      <c r="E50" s="432"/>
      <c r="F50" s="432"/>
      <c r="G50" s="432"/>
      <c r="H50" s="432"/>
      <c r="I50" s="432"/>
      <c r="J50" s="433"/>
    </row>
    <row r="51" spans="1:10" x14ac:dyDescent="0.25">
      <c r="A51" s="431"/>
      <c r="B51" s="432"/>
      <c r="C51" s="432"/>
      <c r="D51" s="432"/>
      <c r="E51" s="432"/>
      <c r="F51" s="432"/>
      <c r="G51" s="432"/>
      <c r="H51" s="432"/>
      <c r="I51" s="432"/>
      <c r="J51" s="433"/>
    </row>
    <row r="52" spans="1:10" x14ac:dyDescent="0.25">
      <c r="A52" s="431"/>
      <c r="B52" s="432"/>
      <c r="C52" s="432"/>
      <c r="D52" s="432"/>
      <c r="E52" s="432"/>
      <c r="F52" s="432"/>
      <c r="G52" s="432"/>
      <c r="H52" s="432"/>
      <c r="I52" s="432"/>
      <c r="J52" s="433"/>
    </row>
    <row r="53" spans="1:10" x14ac:dyDescent="0.25">
      <c r="A53" s="431"/>
      <c r="B53" s="432"/>
      <c r="C53" s="432"/>
      <c r="D53" s="432"/>
      <c r="E53" s="432"/>
      <c r="F53" s="432"/>
      <c r="G53" s="432"/>
      <c r="H53" s="432"/>
      <c r="I53" s="432"/>
      <c r="J53" s="433"/>
    </row>
    <row r="54" spans="1:10" x14ac:dyDescent="0.25">
      <c r="A54" s="434"/>
      <c r="B54" s="435"/>
      <c r="C54" s="435"/>
      <c r="D54" s="435"/>
      <c r="E54" s="435"/>
      <c r="F54" s="435"/>
      <c r="G54" s="435"/>
      <c r="H54" s="435"/>
      <c r="I54" s="435"/>
      <c r="J54" s="436"/>
    </row>
    <row r="55" spans="1:10" s="33" customFormat="1" x14ac:dyDescent="0.25">
      <c r="A55" s="200"/>
      <c r="B55" s="200"/>
      <c r="C55" s="200"/>
      <c r="D55" s="200"/>
      <c r="E55" s="200"/>
      <c r="F55" s="200"/>
      <c r="G55" s="200"/>
      <c r="H55" s="200"/>
      <c r="I55" s="200"/>
      <c r="J55" s="200"/>
    </row>
    <row r="56" spans="1:10" ht="15.6" x14ac:dyDescent="0.3">
      <c r="A56" s="372" t="s">
        <v>76</v>
      </c>
      <c r="B56" s="373"/>
      <c r="C56" s="373"/>
      <c r="D56" s="373"/>
      <c r="E56" s="373"/>
      <c r="F56" s="373"/>
      <c r="G56" s="373"/>
      <c r="H56" s="370" t="str">
        <f>'CONTACT INFORMATION'!$A$24</f>
        <v>Ventura</v>
      </c>
      <c r="I56" s="370"/>
      <c r="J56" s="371"/>
    </row>
    <row r="57" spans="1:10" x14ac:dyDescent="0.25">
      <c r="A57" s="152"/>
      <c r="B57" s="152"/>
      <c r="C57" s="152"/>
      <c r="D57" s="152"/>
      <c r="E57" s="152"/>
      <c r="F57" s="152"/>
      <c r="G57" s="152"/>
      <c r="H57" s="152"/>
      <c r="I57" s="152"/>
      <c r="J57" s="152"/>
    </row>
    <row r="58" spans="1:10" ht="13.8" x14ac:dyDescent="0.25">
      <c r="A58" s="460" t="s">
        <v>203</v>
      </c>
      <c r="B58" s="461"/>
      <c r="C58" s="461"/>
      <c r="D58" s="461"/>
      <c r="E58" s="461"/>
      <c r="F58" s="461"/>
      <c r="G58" s="461"/>
      <c r="H58" s="461"/>
      <c r="I58" s="461"/>
      <c r="J58" s="462"/>
    </row>
    <row r="59" spans="1:10" x14ac:dyDescent="0.25">
      <c r="A59" s="463" t="s">
        <v>151</v>
      </c>
      <c r="B59" s="464"/>
      <c r="C59" s="464"/>
      <c r="D59" s="465"/>
      <c r="E59" s="466"/>
      <c r="F59" s="467"/>
      <c r="G59" s="467"/>
      <c r="H59" s="467"/>
      <c r="I59" s="467"/>
      <c r="J59" s="468"/>
    </row>
    <row r="60" spans="1:10" x14ac:dyDescent="0.25">
      <c r="A60" s="472" t="s">
        <v>181</v>
      </c>
      <c r="B60" s="473"/>
      <c r="C60" s="473"/>
      <c r="D60" s="474"/>
      <c r="E60" s="469"/>
      <c r="F60" s="470"/>
      <c r="G60" s="470"/>
      <c r="H60" s="470"/>
      <c r="I60" s="470"/>
      <c r="J60" s="471"/>
    </row>
    <row r="61" spans="1:10" x14ac:dyDescent="0.25">
      <c r="A61" s="475" t="s">
        <v>182</v>
      </c>
      <c r="B61" s="476"/>
      <c r="C61" s="476"/>
      <c r="D61" s="477"/>
      <c r="E61" s="593"/>
      <c r="F61" s="594"/>
      <c r="G61" s="594"/>
      <c r="H61" s="594"/>
      <c r="I61" s="594"/>
      <c r="J61" s="595"/>
    </row>
    <row r="62" spans="1:10" x14ac:dyDescent="0.25">
      <c r="A62" s="146"/>
      <c r="B62" s="220"/>
      <c r="C62" s="220"/>
      <c r="D62" s="220"/>
      <c r="E62" s="481" t="s">
        <v>155</v>
      </c>
      <c r="F62" s="482"/>
      <c r="G62" s="481" t="s">
        <v>156</v>
      </c>
      <c r="H62" s="482"/>
      <c r="I62" s="483" t="s">
        <v>157</v>
      </c>
      <c r="J62" s="484"/>
    </row>
    <row r="63" spans="1:10" x14ac:dyDescent="0.25">
      <c r="A63" s="449" t="s">
        <v>158</v>
      </c>
      <c r="B63" s="450"/>
      <c r="C63" s="450"/>
      <c r="D63" s="451"/>
      <c r="E63" s="458"/>
      <c r="F63" s="458"/>
      <c r="G63" s="458"/>
      <c r="H63" s="458"/>
      <c r="I63" s="459"/>
      <c r="J63" s="459"/>
    </row>
    <row r="64" spans="1:10" x14ac:dyDescent="0.25">
      <c r="A64" s="454" t="s">
        <v>159</v>
      </c>
      <c r="B64" s="455"/>
      <c r="C64" s="455"/>
      <c r="D64" s="456"/>
      <c r="E64" s="440"/>
      <c r="F64" s="440"/>
      <c r="G64" s="441"/>
      <c r="H64" s="441"/>
      <c r="I64" s="457"/>
      <c r="J64" s="457"/>
    </row>
    <row r="65" spans="1:10" x14ac:dyDescent="0.25">
      <c r="A65" s="449" t="s">
        <v>160</v>
      </c>
      <c r="B65" s="450"/>
      <c r="C65" s="450"/>
      <c r="D65" s="451"/>
      <c r="E65" s="458"/>
      <c r="F65" s="458"/>
      <c r="G65" s="458"/>
      <c r="H65" s="458"/>
      <c r="I65" s="459"/>
      <c r="J65" s="459"/>
    </row>
    <row r="66" spans="1:10" x14ac:dyDescent="0.25">
      <c r="A66" s="454" t="s">
        <v>161</v>
      </c>
      <c r="B66" s="455"/>
      <c r="C66" s="455"/>
      <c r="D66" s="456"/>
      <c r="E66" s="440"/>
      <c r="F66" s="440"/>
      <c r="G66" s="441"/>
      <c r="H66" s="441"/>
      <c r="I66" s="457"/>
      <c r="J66" s="457"/>
    </row>
    <row r="67" spans="1:10" x14ac:dyDescent="0.25">
      <c r="A67" s="449" t="s">
        <v>162</v>
      </c>
      <c r="B67" s="450"/>
      <c r="C67" s="450"/>
      <c r="D67" s="451"/>
      <c r="E67" s="458"/>
      <c r="F67" s="458"/>
      <c r="G67" s="458"/>
      <c r="H67" s="458"/>
      <c r="I67" s="459"/>
      <c r="J67" s="459"/>
    </row>
    <row r="68" spans="1:10" x14ac:dyDescent="0.25">
      <c r="A68" s="454" t="s">
        <v>163</v>
      </c>
      <c r="B68" s="455"/>
      <c r="C68" s="455"/>
      <c r="D68" s="456"/>
      <c r="E68" s="440"/>
      <c r="F68" s="440"/>
      <c r="G68" s="441"/>
      <c r="H68" s="441"/>
      <c r="I68" s="457"/>
      <c r="J68" s="457"/>
    </row>
    <row r="69" spans="1:10" x14ac:dyDescent="0.25">
      <c r="A69" s="449" t="s">
        <v>164</v>
      </c>
      <c r="B69" s="450"/>
      <c r="C69" s="450"/>
      <c r="D69" s="451"/>
      <c r="E69" s="452"/>
      <c r="F69" s="452"/>
      <c r="G69" s="452"/>
      <c r="H69" s="452"/>
      <c r="I69" s="453"/>
      <c r="J69" s="453"/>
    </row>
    <row r="70" spans="1:10" x14ac:dyDescent="0.25">
      <c r="A70" s="437"/>
      <c r="B70" s="438"/>
      <c r="C70" s="438"/>
      <c r="D70" s="439"/>
      <c r="E70" s="440"/>
      <c r="F70" s="440"/>
      <c r="G70" s="441"/>
      <c r="H70" s="441"/>
      <c r="I70" s="441"/>
      <c r="J70" s="441"/>
    </row>
    <row r="71" spans="1:10" x14ac:dyDescent="0.25">
      <c r="A71" s="437"/>
      <c r="B71" s="438"/>
      <c r="C71" s="438"/>
      <c r="D71" s="439"/>
      <c r="E71" s="440"/>
      <c r="F71" s="440"/>
      <c r="G71" s="441"/>
      <c r="H71" s="441"/>
      <c r="I71" s="441"/>
      <c r="J71" s="441"/>
    </row>
    <row r="72" spans="1:10" x14ac:dyDescent="0.25">
      <c r="A72" s="437"/>
      <c r="B72" s="438"/>
      <c r="C72" s="438"/>
      <c r="D72" s="439"/>
      <c r="E72" s="440"/>
      <c r="F72" s="440"/>
      <c r="G72" s="441"/>
      <c r="H72" s="441"/>
      <c r="I72" s="441"/>
      <c r="J72" s="441"/>
    </row>
    <row r="73" spans="1:10" x14ac:dyDescent="0.25">
      <c r="A73" s="442" t="s">
        <v>165</v>
      </c>
      <c r="B73" s="443"/>
      <c r="C73" s="443"/>
      <c r="D73" s="444"/>
      <c r="E73" s="445">
        <f>SUM(E63:E72)</f>
        <v>0</v>
      </c>
      <c r="F73" s="445"/>
      <c r="G73" s="445">
        <f>SUM(G63:G72)</f>
        <v>0</v>
      </c>
      <c r="H73" s="445"/>
      <c r="I73" s="445">
        <f>SUM(I63:I72)</f>
        <v>0</v>
      </c>
      <c r="J73" s="445"/>
    </row>
    <row r="74" spans="1:10" x14ac:dyDescent="0.25">
      <c r="A74" s="446" t="s">
        <v>166</v>
      </c>
      <c r="B74" s="447"/>
      <c r="C74" s="447"/>
      <c r="D74" s="447"/>
      <c r="E74" s="447"/>
      <c r="F74" s="447"/>
      <c r="G74" s="447"/>
      <c r="H74" s="447"/>
      <c r="I74" s="447"/>
      <c r="J74" s="448"/>
    </row>
    <row r="75" spans="1:10" x14ac:dyDescent="0.25">
      <c r="A75" s="423" t="s">
        <v>167</v>
      </c>
      <c r="B75" s="424"/>
      <c r="C75" s="424"/>
      <c r="D75" s="424"/>
      <c r="E75" s="424"/>
      <c r="F75" s="424"/>
      <c r="G75" s="424"/>
      <c r="H75" s="424"/>
      <c r="I75" s="424"/>
      <c r="J75" s="425"/>
    </row>
    <row r="76" spans="1:10" x14ac:dyDescent="0.25">
      <c r="A76" s="423" t="s">
        <v>168</v>
      </c>
      <c r="B76" s="424"/>
      <c r="C76" s="424"/>
      <c r="D76" s="424"/>
      <c r="E76" s="424"/>
      <c r="F76" s="424"/>
      <c r="G76" s="424"/>
      <c r="H76" s="424"/>
      <c r="I76" s="424"/>
      <c r="J76" s="425"/>
    </row>
    <row r="77" spans="1:10" x14ac:dyDescent="0.25">
      <c r="A77" s="426" t="s">
        <v>169</v>
      </c>
      <c r="B77" s="427"/>
      <c r="C77" s="427"/>
      <c r="D77" s="427"/>
      <c r="E77" s="427"/>
      <c r="F77" s="427"/>
      <c r="G77" s="427"/>
      <c r="H77" s="427"/>
      <c r="I77" s="427"/>
      <c r="J77" s="428"/>
    </row>
    <row r="78" spans="1:10" x14ac:dyDescent="0.25">
      <c r="A78" s="316"/>
      <c r="B78" s="429"/>
      <c r="C78" s="429"/>
      <c r="D78" s="429"/>
      <c r="E78" s="429"/>
      <c r="F78" s="429"/>
      <c r="G78" s="429"/>
      <c r="H78" s="429"/>
      <c r="I78" s="429"/>
      <c r="J78" s="430"/>
    </row>
    <row r="79" spans="1:10" x14ac:dyDescent="0.25">
      <c r="A79" s="431"/>
      <c r="B79" s="432"/>
      <c r="C79" s="432"/>
      <c r="D79" s="432"/>
      <c r="E79" s="432"/>
      <c r="F79" s="432"/>
      <c r="G79" s="432"/>
      <c r="H79" s="432"/>
      <c r="I79" s="432"/>
      <c r="J79" s="433"/>
    </row>
    <row r="80" spans="1:10" x14ac:dyDescent="0.25">
      <c r="A80" s="431"/>
      <c r="B80" s="432"/>
      <c r="C80" s="432"/>
      <c r="D80" s="432"/>
      <c r="E80" s="432"/>
      <c r="F80" s="432"/>
      <c r="G80" s="432"/>
      <c r="H80" s="432"/>
      <c r="I80" s="432"/>
      <c r="J80" s="433"/>
    </row>
    <row r="81" spans="1:10" x14ac:dyDescent="0.25">
      <c r="A81" s="431"/>
      <c r="B81" s="432"/>
      <c r="C81" s="432"/>
      <c r="D81" s="432"/>
      <c r="E81" s="432"/>
      <c r="F81" s="432"/>
      <c r="G81" s="432"/>
      <c r="H81" s="432"/>
      <c r="I81" s="432"/>
      <c r="J81" s="433"/>
    </row>
    <row r="82" spans="1:10" x14ac:dyDescent="0.25">
      <c r="A82" s="431"/>
      <c r="B82" s="432"/>
      <c r="C82" s="432"/>
      <c r="D82" s="432"/>
      <c r="E82" s="432"/>
      <c r="F82" s="432"/>
      <c r="G82" s="432"/>
      <c r="H82" s="432"/>
      <c r="I82" s="432"/>
      <c r="J82" s="433"/>
    </row>
    <row r="83" spans="1:10" x14ac:dyDescent="0.25">
      <c r="A83" s="431"/>
      <c r="B83" s="432"/>
      <c r="C83" s="432"/>
      <c r="D83" s="432"/>
      <c r="E83" s="432"/>
      <c r="F83" s="432"/>
      <c r="G83" s="432"/>
      <c r="H83" s="432"/>
      <c r="I83" s="432"/>
      <c r="J83" s="433"/>
    </row>
    <row r="84" spans="1:10" x14ac:dyDescent="0.25">
      <c r="A84" s="431"/>
      <c r="B84" s="432"/>
      <c r="C84" s="432"/>
      <c r="D84" s="432"/>
      <c r="E84" s="432"/>
      <c r="F84" s="432"/>
      <c r="G84" s="432"/>
      <c r="H84" s="432"/>
      <c r="I84" s="432"/>
      <c r="J84" s="433"/>
    </row>
    <row r="85" spans="1:10" x14ac:dyDescent="0.25">
      <c r="A85" s="431"/>
      <c r="B85" s="432"/>
      <c r="C85" s="432"/>
      <c r="D85" s="432"/>
      <c r="E85" s="432"/>
      <c r="F85" s="432"/>
      <c r="G85" s="432"/>
      <c r="H85" s="432"/>
      <c r="I85" s="432"/>
      <c r="J85" s="433"/>
    </row>
    <row r="86" spans="1:10" x14ac:dyDescent="0.25">
      <c r="A86" s="431"/>
      <c r="B86" s="432"/>
      <c r="C86" s="432"/>
      <c r="D86" s="432"/>
      <c r="E86" s="432"/>
      <c r="F86" s="432"/>
      <c r="G86" s="432"/>
      <c r="H86" s="432"/>
      <c r="I86" s="432"/>
      <c r="J86" s="433"/>
    </row>
    <row r="87" spans="1:10" x14ac:dyDescent="0.25">
      <c r="A87" s="431"/>
      <c r="B87" s="432"/>
      <c r="C87" s="432"/>
      <c r="D87" s="432"/>
      <c r="E87" s="432"/>
      <c r="F87" s="432"/>
      <c r="G87" s="432"/>
      <c r="H87" s="432"/>
      <c r="I87" s="432"/>
      <c r="J87" s="433"/>
    </row>
    <row r="88" spans="1:10" x14ac:dyDescent="0.25">
      <c r="A88" s="431"/>
      <c r="B88" s="432"/>
      <c r="C88" s="432"/>
      <c r="D88" s="432"/>
      <c r="E88" s="432"/>
      <c r="F88" s="432"/>
      <c r="G88" s="432"/>
      <c r="H88" s="432"/>
      <c r="I88" s="432"/>
      <c r="J88" s="433"/>
    </row>
    <row r="89" spans="1:10" x14ac:dyDescent="0.25">
      <c r="A89" s="431"/>
      <c r="B89" s="432"/>
      <c r="C89" s="432"/>
      <c r="D89" s="432"/>
      <c r="E89" s="432"/>
      <c r="F89" s="432"/>
      <c r="G89" s="432"/>
      <c r="H89" s="432"/>
      <c r="I89" s="432"/>
      <c r="J89" s="433"/>
    </row>
    <row r="90" spans="1:10" x14ac:dyDescent="0.25">
      <c r="A90" s="431"/>
      <c r="B90" s="432"/>
      <c r="C90" s="432"/>
      <c r="D90" s="432"/>
      <c r="E90" s="432"/>
      <c r="F90" s="432"/>
      <c r="G90" s="432"/>
      <c r="H90" s="432"/>
      <c r="I90" s="432"/>
      <c r="J90" s="433"/>
    </row>
    <row r="91" spans="1:10" x14ac:dyDescent="0.25">
      <c r="A91" s="431"/>
      <c r="B91" s="432"/>
      <c r="C91" s="432"/>
      <c r="D91" s="432"/>
      <c r="E91" s="432"/>
      <c r="F91" s="432"/>
      <c r="G91" s="432"/>
      <c r="H91" s="432"/>
      <c r="I91" s="432"/>
      <c r="J91" s="433"/>
    </row>
    <row r="92" spans="1:10" x14ac:dyDescent="0.25">
      <c r="A92" s="431"/>
      <c r="B92" s="432"/>
      <c r="C92" s="432"/>
      <c r="D92" s="432"/>
      <c r="E92" s="432"/>
      <c r="F92" s="432"/>
      <c r="G92" s="432"/>
      <c r="H92" s="432"/>
      <c r="I92" s="432"/>
      <c r="J92" s="433"/>
    </row>
    <row r="93" spans="1:10" x14ac:dyDescent="0.25">
      <c r="A93" s="431"/>
      <c r="B93" s="432"/>
      <c r="C93" s="432"/>
      <c r="D93" s="432"/>
      <c r="E93" s="432"/>
      <c r="F93" s="432"/>
      <c r="G93" s="432"/>
      <c r="H93" s="432"/>
      <c r="I93" s="432"/>
      <c r="J93" s="433"/>
    </row>
    <row r="94" spans="1:10" x14ac:dyDescent="0.25">
      <c r="A94" s="431"/>
      <c r="B94" s="432"/>
      <c r="C94" s="432"/>
      <c r="D94" s="432"/>
      <c r="E94" s="432"/>
      <c r="F94" s="432"/>
      <c r="G94" s="432"/>
      <c r="H94" s="432"/>
      <c r="I94" s="432"/>
      <c r="J94" s="433"/>
    </row>
    <row r="95" spans="1:10" x14ac:dyDescent="0.25">
      <c r="A95" s="431"/>
      <c r="B95" s="432"/>
      <c r="C95" s="432"/>
      <c r="D95" s="432"/>
      <c r="E95" s="432"/>
      <c r="F95" s="432"/>
      <c r="G95" s="432"/>
      <c r="H95" s="432"/>
      <c r="I95" s="432"/>
      <c r="J95" s="433"/>
    </row>
    <row r="96" spans="1:10" x14ac:dyDescent="0.25">
      <c r="A96" s="431"/>
      <c r="B96" s="432"/>
      <c r="C96" s="432"/>
      <c r="D96" s="432"/>
      <c r="E96" s="432"/>
      <c r="F96" s="432"/>
      <c r="G96" s="432"/>
      <c r="H96" s="432"/>
      <c r="I96" s="432"/>
      <c r="J96" s="433"/>
    </row>
    <row r="97" spans="1:10" x14ac:dyDescent="0.25">
      <c r="A97" s="431"/>
      <c r="B97" s="432"/>
      <c r="C97" s="432"/>
      <c r="D97" s="432"/>
      <c r="E97" s="432"/>
      <c r="F97" s="432"/>
      <c r="G97" s="432"/>
      <c r="H97" s="432"/>
      <c r="I97" s="432"/>
      <c r="J97" s="433"/>
    </row>
    <row r="98" spans="1:10" x14ac:dyDescent="0.25">
      <c r="A98" s="431"/>
      <c r="B98" s="432"/>
      <c r="C98" s="432"/>
      <c r="D98" s="432"/>
      <c r="E98" s="432"/>
      <c r="F98" s="432"/>
      <c r="G98" s="432"/>
      <c r="H98" s="432"/>
      <c r="I98" s="432"/>
      <c r="J98" s="433"/>
    </row>
    <row r="99" spans="1:10" x14ac:dyDescent="0.25">
      <c r="A99" s="431"/>
      <c r="B99" s="432"/>
      <c r="C99" s="432"/>
      <c r="D99" s="432"/>
      <c r="E99" s="432"/>
      <c r="F99" s="432"/>
      <c r="G99" s="432"/>
      <c r="H99" s="432"/>
      <c r="I99" s="432"/>
      <c r="J99" s="433"/>
    </row>
    <row r="100" spans="1:10" x14ac:dyDescent="0.25">
      <c r="A100" s="431"/>
      <c r="B100" s="432"/>
      <c r="C100" s="432"/>
      <c r="D100" s="432"/>
      <c r="E100" s="432"/>
      <c r="F100" s="432"/>
      <c r="G100" s="432"/>
      <c r="H100" s="432"/>
      <c r="I100" s="432"/>
      <c r="J100" s="433"/>
    </row>
    <row r="101" spans="1:10" x14ac:dyDescent="0.25">
      <c r="A101" s="431"/>
      <c r="B101" s="432"/>
      <c r="C101" s="432"/>
      <c r="D101" s="432"/>
      <c r="E101" s="432"/>
      <c r="F101" s="432"/>
      <c r="G101" s="432"/>
      <c r="H101" s="432"/>
      <c r="I101" s="432"/>
      <c r="J101" s="433"/>
    </row>
    <row r="102" spans="1:10" x14ac:dyDescent="0.25">
      <c r="A102" s="431"/>
      <c r="B102" s="432"/>
      <c r="C102" s="432"/>
      <c r="D102" s="432"/>
      <c r="E102" s="432"/>
      <c r="F102" s="432"/>
      <c r="G102" s="432"/>
      <c r="H102" s="432"/>
      <c r="I102" s="432"/>
      <c r="J102" s="433"/>
    </row>
    <row r="103" spans="1:10" x14ac:dyDescent="0.25">
      <c r="A103" s="431"/>
      <c r="B103" s="432"/>
      <c r="C103" s="432"/>
      <c r="D103" s="432"/>
      <c r="E103" s="432"/>
      <c r="F103" s="432"/>
      <c r="G103" s="432"/>
      <c r="H103" s="432"/>
      <c r="I103" s="432"/>
      <c r="J103" s="433"/>
    </row>
    <row r="104" spans="1:10" x14ac:dyDescent="0.25">
      <c r="A104" s="431"/>
      <c r="B104" s="432"/>
      <c r="C104" s="432"/>
      <c r="D104" s="432"/>
      <c r="E104" s="432"/>
      <c r="F104" s="432"/>
      <c r="G104" s="432"/>
      <c r="H104" s="432"/>
      <c r="I104" s="432"/>
      <c r="J104" s="433"/>
    </row>
    <row r="105" spans="1:10" x14ac:dyDescent="0.25">
      <c r="A105" s="431"/>
      <c r="B105" s="432"/>
      <c r="C105" s="432"/>
      <c r="D105" s="432"/>
      <c r="E105" s="432"/>
      <c r="F105" s="432"/>
      <c r="G105" s="432"/>
      <c r="H105" s="432"/>
      <c r="I105" s="432"/>
      <c r="J105" s="433"/>
    </row>
    <row r="106" spans="1:10" x14ac:dyDescent="0.25">
      <c r="A106" s="431"/>
      <c r="B106" s="432"/>
      <c r="C106" s="432"/>
      <c r="D106" s="432"/>
      <c r="E106" s="432"/>
      <c r="F106" s="432"/>
      <c r="G106" s="432"/>
      <c r="H106" s="432"/>
      <c r="I106" s="432"/>
      <c r="J106" s="433"/>
    </row>
    <row r="107" spans="1:10" x14ac:dyDescent="0.25">
      <c r="A107" s="431"/>
      <c r="B107" s="432"/>
      <c r="C107" s="432"/>
      <c r="D107" s="432"/>
      <c r="E107" s="432"/>
      <c r="F107" s="432"/>
      <c r="G107" s="432"/>
      <c r="H107" s="432"/>
      <c r="I107" s="432"/>
      <c r="J107" s="433"/>
    </row>
    <row r="108" spans="1:10" x14ac:dyDescent="0.25">
      <c r="A108" s="431"/>
      <c r="B108" s="432"/>
      <c r="C108" s="432"/>
      <c r="D108" s="432"/>
      <c r="E108" s="432"/>
      <c r="F108" s="432"/>
      <c r="G108" s="432"/>
      <c r="H108" s="432"/>
      <c r="I108" s="432"/>
      <c r="J108" s="433"/>
    </row>
    <row r="109" spans="1:10" x14ac:dyDescent="0.25">
      <c r="A109" s="431"/>
      <c r="B109" s="432"/>
      <c r="C109" s="432"/>
      <c r="D109" s="432"/>
      <c r="E109" s="432"/>
      <c r="F109" s="432"/>
      <c r="G109" s="432"/>
      <c r="H109" s="432"/>
      <c r="I109" s="432"/>
      <c r="J109" s="433"/>
    </row>
    <row r="110" spans="1:10" x14ac:dyDescent="0.25">
      <c r="A110" s="434"/>
      <c r="B110" s="435"/>
      <c r="C110" s="435"/>
      <c r="D110" s="435"/>
      <c r="E110" s="435"/>
      <c r="F110" s="435"/>
      <c r="G110" s="435"/>
      <c r="H110" s="435"/>
      <c r="I110" s="435"/>
      <c r="J110" s="436"/>
    </row>
    <row r="112" spans="1:10" ht="15.6" x14ac:dyDescent="0.3">
      <c r="A112" s="372" t="s">
        <v>76</v>
      </c>
      <c r="B112" s="373"/>
      <c r="C112" s="373"/>
      <c r="D112" s="373"/>
      <c r="E112" s="373"/>
      <c r="F112" s="373"/>
      <c r="G112" s="373"/>
      <c r="H112" s="370" t="str">
        <f>'CONTACT INFORMATION'!$A$24</f>
        <v>Ventura</v>
      </c>
      <c r="I112" s="370"/>
      <c r="J112" s="371"/>
    </row>
    <row r="113" spans="1:10" x14ac:dyDescent="0.25">
      <c r="A113" s="152"/>
      <c r="B113" s="152"/>
      <c r="C113" s="152"/>
      <c r="D113" s="152"/>
      <c r="E113" s="152"/>
      <c r="F113" s="152"/>
      <c r="G113" s="152"/>
      <c r="H113" s="152"/>
      <c r="I113" s="152"/>
      <c r="J113" s="152"/>
    </row>
    <row r="114" spans="1:10" ht="13.8" x14ac:dyDescent="0.25">
      <c r="A114" s="460" t="s">
        <v>204</v>
      </c>
      <c r="B114" s="461"/>
      <c r="C114" s="461"/>
      <c r="D114" s="461"/>
      <c r="E114" s="461"/>
      <c r="F114" s="461"/>
      <c r="G114" s="461"/>
      <c r="H114" s="461"/>
      <c r="I114" s="461"/>
      <c r="J114" s="462"/>
    </row>
    <row r="115" spans="1:10" x14ac:dyDescent="0.25">
      <c r="A115" s="463" t="s">
        <v>151</v>
      </c>
      <c r="B115" s="464"/>
      <c r="C115" s="464"/>
      <c r="D115" s="465"/>
      <c r="E115" s="466"/>
      <c r="F115" s="467"/>
      <c r="G115" s="467"/>
      <c r="H115" s="467"/>
      <c r="I115" s="467"/>
      <c r="J115" s="468"/>
    </row>
    <row r="116" spans="1:10" x14ac:dyDescent="0.25">
      <c r="A116" s="472" t="s">
        <v>181</v>
      </c>
      <c r="B116" s="473"/>
      <c r="C116" s="473"/>
      <c r="D116" s="474"/>
      <c r="E116" s="469"/>
      <c r="F116" s="470"/>
      <c r="G116" s="470"/>
      <c r="H116" s="470"/>
      <c r="I116" s="470"/>
      <c r="J116" s="471"/>
    </row>
    <row r="117" spans="1:10" x14ac:dyDescent="0.25">
      <c r="A117" s="475" t="s">
        <v>182</v>
      </c>
      <c r="B117" s="476"/>
      <c r="C117" s="476"/>
      <c r="D117" s="477"/>
      <c r="E117" s="593"/>
      <c r="F117" s="594"/>
      <c r="G117" s="594"/>
      <c r="H117" s="594"/>
      <c r="I117" s="594"/>
      <c r="J117" s="595"/>
    </row>
    <row r="118" spans="1:10" x14ac:dyDescent="0.25">
      <c r="A118" s="146"/>
      <c r="B118" s="220"/>
      <c r="C118" s="220"/>
      <c r="D118" s="220"/>
      <c r="E118" s="481" t="s">
        <v>155</v>
      </c>
      <c r="F118" s="482"/>
      <c r="G118" s="481" t="s">
        <v>156</v>
      </c>
      <c r="H118" s="482"/>
      <c r="I118" s="483" t="s">
        <v>157</v>
      </c>
      <c r="J118" s="484"/>
    </row>
    <row r="119" spans="1:10" x14ac:dyDescent="0.25">
      <c r="A119" s="449" t="s">
        <v>158</v>
      </c>
      <c r="B119" s="450"/>
      <c r="C119" s="450"/>
      <c r="D119" s="451"/>
      <c r="E119" s="458"/>
      <c r="F119" s="458"/>
      <c r="G119" s="458"/>
      <c r="H119" s="458"/>
      <c r="I119" s="459"/>
      <c r="J119" s="459"/>
    </row>
    <row r="120" spans="1:10" x14ac:dyDescent="0.25">
      <c r="A120" s="454" t="s">
        <v>159</v>
      </c>
      <c r="B120" s="455"/>
      <c r="C120" s="455"/>
      <c r="D120" s="456"/>
      <c r="E120" s="440"/>
      <c r="F120" s="440"/>
      <c r="G120" s="441"/>
      <c r="H120" s="441"/>
      <c r="I120" s="457"/>
      <c r="J120" s="457"/>
    </row>
    <row r="121" spans="1:10" x14ac:dyDescent="0.25">
      <c r="A121" s="449" t="s">
        <v>160</v>
      </c>
      <c r="B121" s="450"/>
      <c r="C121" s="450"/>
      <c r="D121" s="451"/>
      <c r="E121" s="458"/>
      <c r="F121" s="458"/>
      <c r="G121" s="458"/>
      <c r="H121" s="458"/>
      <c r="I121" s="459"/>
      <c r="J121" s="459"/>
    </row>
    <row r="122" spans="1:10" x14ac:dyDescent="0.25">
      <c r="A122" s="454" t="s">
        <v>161</v>
      </c>
      <c r="B122" s="455"/>
      <c r="C122" s="455"/>
      <c r="D122" s="456"/>
      <c r="E122" s="440"/>
      <c r="F122" s="440"/>
      <c r="G122" s="441"/>
      <c r="H122" s="441"/>
      <c r="I122" s="457"/>
      <c r="J122" s="457"/>
    </row>
    <row r="123" spans="1:10" x14ac:dyDescent="0.25">
      <c r="A123" s="449" t="s">
        <v>162</v>
      </c>
      <c r="B123" s="450"/>
      <c r="C123" s="450"/>
      <c r="D123" s="451"/>
      <c r="E123" s="458"/>
      <c r="F123" s="458"/>
      <c r="G123" s="458"/>
      <c r="H123" s="458"/>
      <c r="I123" s="459"/>
      <c r="J123" s="459"/>
    </row>
    <row r="124" spans="1:10" x14ac:dyDescent="0.25">
      <c r="A124" s="454" t="s">
        <v>163</v>
      </c>
      <c r="B124" s="455"/>
      <c r="C124" s="455"/>
      <c r="D124" s="456"/>
      <c r="E124" s="440"/>
      <c r="F124" s="440"/>
      <c r="G124" s="441"/>
      <c r="H124" s="441"/>
      <c r="I124" s="457"/>
      <c r="J124" s="457"/>
    </row>
    <row r="125" spans="1:10" x14ac:dyDescent="0.25">
      <c r="A125" s="449" t="s">
        <v>164</v>
      </c>
      <c r="B125" s="450"/>
      <c r="C125" s="450"/>
      <c r="D125" s="451"/>
      <c r="E125" s="452"/>
      <c r="F125" s="452"/>
      <c r="G125" s="452"/>
      <c r="H125" s="452"/>
      <c r="I125" s="453"/>
      <c r="J125" s="453"/>
    </row>
    <row r="126" spans="1:10" x14ac:dyDescent="0.25">
      <c r="A126" s="437"/>
      <c r="B126" s="438"/>
      <c r="C126" s="438"/>
      <c r="D126" s="439"/>
      <c r="E126" s="440"/>
      <c r="F126" s="440"/>
      <c r="G126" s="441"/>
      <c r="H126" s="441"/>
      <c r="I126" s="441"/>
      <c r="J126" s="441"/>
    </row>
    <row r="127" spans="1:10" x14ac:dyDescent="0.25">
      <c r="A127" s="437"/>
      <c r="B127" s="438"/>
      <c r="C127" s="438"/>
      <c r="D127" s="439"/>
      <c r="E127" s="440"/>
      <c r="F127" s="440"/>
      <c r="G127" s="441"/>
      <c r="H127" s="441"/>
      <c r="I127" s="441"/>
      <c r="J127" s="441"/>
    </row>
    <row r="128" spans="1:10" x14ac:dyDescent="0.25">
      <c r="A128" s="437"/>
      <c r="B128" s="438"/>
      <c r="C128" s="438"/>
      <c r="D128" s="439"/>
      <c r="E128" s="440"/>
      <c r="F128" s="440"/>
      <c r="G128" s="441"/>
      <c r="H128" s="441"/>
      <c r="I128" s="441"/>
      <c r="J128" s="441"/>
    </row>
    <row r="129" spans="1:10" x14ac:dyDescent="0.25">
      <c r="A129" s="442" t="s">
        <v>165</v>
      </c>
      <c r="B129" s="443"/>
      <c r="C129" s="443"/>
      <c r="D129" s="444"/>
      <c r="E129" s="445">
        <f>SUM(E119:E128)</f>
        <v>0</v>
      </c>
      <c r="F129" s="445"/>
      <c r="G129" s="445">
        <f>SUM(G119:G128)</f>
        <v>0</v>
      </c>
      <c r="H129" s="445"/>
      <c r="I129" s="445">
        <f>SUM(I119:I128)</f>
        <v>0</v>
      </c>
      <c r="J129" s="445"/>
    </row>
    <row r="130" spans="1:10" x14ac:dyDescent="0.25">
      <c r="A130" s="446" t="s">
        <v>166</v>
      </c>
      <c r="B130" s="447"/>
      <c r="C130" s="447"/>
      <c r="D130" s="447"/>
      <c r="E130" s="447"/>
      <c r="F130" s="447"/>
      <c r="G130" s="447"/>
      <c r="H130" s="447"/>
      <c r="I130" s="447"/>
      <c r="J130" s="448"/>
    </row>
    <row r="131" spans="1:10" x14ac:dyDescent="0.25">
      <c r="A131" s="423" t="s">
        <v>167</v>
      </c>
      <c r="B131" s="424"/>
      <c r="C131" s="424"/>
      <c r="D131" s="424"/>
      <c r="E131" s="424"/>
      <c r="F131" s="424"/>
      <c r="G131" s="424"/>
      <c r="H131" s="424"/>
      <c r="I131" s="424"/>
      <c r="J131" s="425"/>
    </row>
    <row r="132" spans="1:10" x14ac:dyDescent="0.25">
      <c r="A132" s="423" t="s">
        <v>168</v>
      </c>
      <c r="B132" s="424"/>
      <c r="C132" s="424"/>
      <c r="D132" s="424"/>
      <c r="E132" s="424"/>
      <c r="F132" s="424"/>
      <c r="G132" s="424"/>
      <c r="H132" s="424"/>
      <c r="I132" s="424"/>
      <c r="J132" s="425"/>
    </row>
    <row r="133" spans="1:10" x14ac:dyDescent="0.25">
      <c r="A133" s="426" t="s">
        <v>169</v>
      </c>
      <c r="B133" s="427"/>
      <c r="C133" s="427"/>
      <c r="D133" s="427"/>
      <c r="E133" s="427"/>
      <c r="F133" s="427"/>
      <c r="G133" s="427"/>
      <c r="H133" s="427"/>
      <c r="I133" s="427"/>
      <c r="J133" s="428"/>
    </row>
    <row r="134" spans="1:10" x14ac:dyDescent="0.25">
      <c r="A134" s="316"/>
      <c r="B134" s="429"/>
      <c r="C134" s="429"/>
      <c r="D134" s="429"/>
      <c r="E134" s="429"/>
      <c r="F134" s="429"/>
      <c r="G134" s="429"/>
      <c r="H134" s="429"/>
      <c r="I134" s="429"/>
      <c r="J134" s="430"/>
    </row>
    <row r="135" spans="1:10" x14ac:dyDescent="0.25">
      <c r="A135" s="431"/>
      <c r="B135" s="432"/>
      <c r="C135" s="432"/>
      <c r="D135" s="432"/>
      <c r="E135" s="432"/>
      <c r="F135" s="432"/>
      <c r="G135" s="432"/>
      <c r="H135" s="432"/>
      <c r="I135" s="432"/>
      <c r="J135" s="433"/>
    </row>
    <row r="136" spans="1:10" x14ac:dyDescent="0.25">
      <c r="A136" s="431"/>
      <c r="B136" s="432"/>
      <c r="C136" s="432"/>
      <c r="D136" s="432"/>
      <c r="E136" s="432"/>
      <c r="F136" s="432"/>
      <c r="G136" s="432"/>
      <c r="H136" s="432"/>
      <c r="I136" s="432"/>
      <c r="J136" s="433"/>
    </row>
    <row r="137" spans="1:10" x14ac:dyDescent="0.25">
      <c r="A137" s="431"/>
      <c r="B137" s="432"/>
      <c r="C137" s="432"/>
      <c r="D137" s="432"/>
      <c r="E137" s="432"/>
      <c r="F137" s="432"/>
      <c r="G137" s="432"/>
      <c r="H137" s="432"/>
      <c r="I137" s="432"/>
      <c r="J137" s="433"/>
    </row>
    <row r="138" spans="1:10" x14ac:dyDescent="0.25">
      <c r="A138" s="431"/>
      <c r="B138" s="432"/>
      <c r="C138" s="432"/>
      <c r="D138" s="432"/>
      <c r="E138" s="432"/>
      <c r="F138" s="432"/>
      <c r="G138" s="432"/>
      <c r="H138" s="432"/>
      <c r="I138" s="432"/>
      <c r="J138" s="433"/>
    </row>
    <row r="139" spans="1:10" x14ac:dyDescent="0.25">
      <c r="A139" s="431"/>
      <c r="B139" s="432"/>
      <c r="C139" s="432"/>
      <c r="D139" s="432"/>
      <c r="E139" s="432"/>
      <c r="F139" s="432"/>
      <c r="G139" s="432"/>
      <c r="H139" s="432"/>
      <c r="I139" s="432"/>
      <c r="J139" s="433"/>
    </row>
    <row r="140" spans="1:10" x14ac:dyDescent="0.25">
      <c r="A140" s="431"/>
      <c r="B140" s="432"/>
      <c r="C140" s="432"/>
      <c r="D140" s="432"/>
      <c r="E140" s="432"/>
      <c r="F140" s="432"/>
      <c r="G140" s="432"/>
      <c r="H140" s="432"/>
      <c r="I140" s="432"/>
      <c r="J140" s="433"/>
    </row>
    <row r="141" spans="1:10" x14ac:dyDescent="0.25">
      <c r="A141" s="431"/>
      <c r="B141" s="432"/>
      <c r="C141" s="432"/>
      <c r="D141" s="432"/>
      <c r="E141" s="432"/>
      <c r="F141" s="432"/>
      <c r="G141" s="432"/>
      <c r="H141" s="432"/>
      <c r="I141" s="432"/>
      <c r="J141" s="433"/>
    </row>
    <row r="142" spans="1:10" x14ac:dyDescent="0.25">
      <c r="A142" s="431"/>
      <c r="B142" s="432"/>
      <c r="C142" s="432"/>
      <c r="D142" s="432"/>
      <c r="E142" s="432"/>
      <c r="F142" s="432"/>
      <c r="G142" s="432"/>
      <c r="H142" s="432"/>
      <c r="I142" s="432"/>
      <c r="J142" s="433"/>
    </row>
    <row r="143" spans="1:10" x14ac:dyDescent="0.25">
      <c r="A143" s="431"/>
      <c r="B143" s="432"/>
      <c r="C143" s="432"/>
      <c r="D143" s="432"/>
      <c r="E143" s="432"/>
      <c r="F143" s="432"/>
      <c r="G143" s="432"/>
      <c r="H143" s="432"/>
      <c r="I143" s="432"/>
      <c r="J143" s="433"/>
    </row>
    <row r="144" spans="1:10" x14ac:dyDescent="0.25">
      <c r="A144" s="431"/>
      <c r="B144" s="432"/>
      <c r="C144" s="432"/>
      <c r="D144" s="432"/>
      <c r="E144" s="432"/>
      <c r="F144" s="432"/>
      <c r="G144" s="432"/>
      <c r="H144" s="432"/>
      <c r="I144" s="432"/>
      <c r="J144" s="433"/>
    </row>
    <row r="145" spans="1:10" x14ac:dyDescent="0.25">
      <c r="A145" s="431"/>
      <c r="B145" s="432"/>
      <c r="C145" s="432"/>
      <c r="D145" s="432"/>
      <c r="E145" s="432"/>
      <c r="F145" s="432"/>
      <c r="G145" s="432"/>
      <c r="H145" s="432"/>
      <c r="I145" s="432"/>
      <c r="J145" s="433"/>
    </row>
    <row r="146" spans="1:10" x14ac:dyDescent="0.25">
      <c r="A146" s="431"/>
      <c r="B146" s="432"/>
      <c r="C146" s="432"/>
      <c r="D146" s="432"/>
      <c r="E146" s="432"/>
      <c r="F146" s="432"/>
      <c r="G146" s="432"/>
      <c r="H146" s="432"/>
      <c r="I146" s="432"/>
      <c r="J146" s="433"/>
    </row>
    <row r="147" spans="1:10" x14ac:dyDescent="0.25">
      <c r="A147" s="431"/>
      <c r="B147" s="432"/>
      <c r="C147" s="432"/>
      <c r="D147" s="432"/>
      <c r="E147" s="432"/>
      <c r="F147" s="432"/>
      <c r="G147" s="432"/>
      <c r="H147" s="432"/>
      <c r="I147" s="432"/>
      <c r="J147" s="433"/>
    </row>
    <row r="148" spans="1:10" x14ac:dyDescent="0.25">
      <c r="A148" s="431"/>
      <c r="B148" s="432"/>
      <c r="C148" s="432"/>
      <c r="D148" s="432"/>
      <c r="E148" s="432"/>
      <c r="F148" s="432"/>
      <c r="G148" s="432"/>
      <c r="H148" s="432"/>
      <c r="I148" s="432"/>
      <c r="J148" s="433"/>
    </row>
    <row r="149" spans="1:10" x14ac:dyDescent="0.25">
      <c r="A149" s="431"/>
      <c r="B149" s="432"/>
      <c r="C149" s="432"/>
      <c r="D149" s="432"/>
      <c r="E149" s="432"/>
      <c r="F149" s="432"/>
      <c r="G149" s="432"/>
      <c r="H149" s="432"/>
      <c r="I149" s="432"/>
      <c r="J149" s="433"/>
    </row>
    <row r="150" spans="1:10" x14ac:dyDescent="0.25">
      <c r="A150" s="431"/>
      <c r="B150" s="432"/>
      <c r="C150" s="432"/>
      <c r="D150" s="432"/>
      <c r="E150" s="432"/>
      <c r="F150" s="432"/>
      <c r="G150" s="432"/>
      <c r="H150" s="432"/>
      <c r="I150" s="432"/>
      <c r="J150" s="433"/>
    </row>
    <row r="151" spans="1:10" x14ac:dyDescent="0.25">
      <c r="A151" s="431"/>
      <c r="B151" s="432"/>
      <c r="C151" s="432"/>
      <c r="D151" s="432"/>
      <c r="E151" s="432"/>
      <c r="F151" s="432"/>
      <c r="G151" s="432"/>
      <c r="H151" s="432"/>
      <c r="I151" s="432"/>
      <c r="J151" s="433"/>
    </row>
    <row r="152" spans="1:10" x14ac:dyDescent="0.25">
      <c r="A152" s="431"/>
      <c r="B152" s="432"/>
      <c r="C152" s="432"/>
      <c r="D152" s="432"/>
      <c r="E152" s="432"/>
      <c r="F152" s="432"/>
      <c r="G152" s="432"/>
      <c r="H152" s="432"/>
      <c r="I152" s="432"/>
      <c r="J152" s="433"/>
    </row>
    <row r="153" spans="1:10" x14ac:dyDescent="0.25">
      <c r="A153" s="431"/>
      <c r="B153" s="432"/>
      <c r="C153" s="432"/>
      <c r="D153" s="432"/>
      <c r="E153" s="432"/>
      <c r="F153" s="432"/>
      <c r="G153" s="432"/>
      <c r="H153" s="432"/>
      <c r="I153" s="432"/>
      <c r="J153" s="433"/>
    </row>
    <row r="154" spans="1:10" x14ac:dyDescent="0.25">
      <c r="A154" s="431"/>
      <c r="B154" s="432"/>
      <c r="C154" s="432"/>
      <c r="D154" s="432"/>
      <c r="E154" s="432"/>
      <c r="F154" s="432"/>
      <c r="G154" s="432"/>
      <c r="H154" s="432"/>
      <c r="I154" s="432"/>
      <c r="J154" s="433"/>
    </row>
    <row r="155" spans="1:10" x14ac:dyDescent="0.25">
      <c r="A155" s="431"/>
      <c r="B155" s="432"/>
      <c r="C155" s="432"/>
      <c r="D155" s="432"/>
      <c r="E155" s="432"/>
      <c r="F155" s="432"/>
      <c r="G155" s="432"/>
      <c r="H155" s="432"/>
      <c r="I155" s="432"/>
      <c r="J155" s="433"/>
    </row>
    <row r="156" spans="1:10" x14ac:dyDescent="0.25">
      <c r="A156" s="431"/>
      <c r="B156" s="432"/>
      <c r="C156" s="432"/>
      <c r="D156" s="432"/>
      <c r="E156" s="432"/>
      <c r="F156" s="432"/>
      <c r="G156" s="432"/>
      <c r="H156" s="432"/>
      <c r="I156" s="432"/>
      <c r="J156" s="433"/>
    </row>
    <row r="157" spans="1:10" x14ac:dyDescent="0.25">
      <c r="A157" s="431"/>
      <c r="B157" s="432"/>
      <c r="C157" s="432"/>
      <c r="D157" s="432"/>
      <c r="E157" s="432"/>
      <c r="F157" s="432"/>
      <c r="G157" s="432"/>
      <c r="H157" s="432"/>
      <c r="I157" s="432"/>
      <c r="J157" s="433"/>
    </row>
    <row r="158" spans="1:10" x14ac:dyDescent="0.25">
      <c r="A158" s="431"/>
      <c r="B158" s="432"/>
      <c r="C158" s="432"/>
      <c r="D158" s="432"/>
      <c r="E158" s="432"/>
      <c r="F158" s="432"/>
      <c r="G158" s="432"/>
      <c r="H158" s="432"/>
      <c r="I158" s="432"/>
      <c r="J158" s="433"/>
    </row>
    <row r="159" spans="1:10" x14ac:dyDescent="0.25">
      <c r="A159" s="431"/>
      <c r="B159" s="432"/>
      <c r="C159" s="432"/>
      <c r="D159" s="432"/>
      <c r="E159" s="432"/>
      <c r="F159" s="432"/>
      <c r="G159" s="432"/>
      <c r="H159" s="432"/>
      <c r="I159" s="432"/>
      <c r="J159" s="433"/>
    </row>
    <row r="160" spans="1:10" x14ac:dyDescent="0.25">
      <c r="A160" s="431"/>
      <c r="B160" s="432"/>
      <c r="C160" s="432"/>
      <c r="D160" s="432"/>
      <c r="E160" s="432"/>
      <c r="F160" s="432"/>
      <c r="G160" s="432"/>
      <c r="H160" s="432"/>
      <c r="I160" s="432"/>
      <c r="J160" s="433"/>
    </row>
    <row r="161" spans="1:10" x14ac:dyDescent="0.25">
      <c r="A161" s="431"/>
      <c r="B161" s="432"/>
      <c r="C161" s="432"/>
      <c r="D161" s="432"/>
      <c r="E161" s="432"/>
      <c r="F161" s="432"/>
      <c r="G161" s="432"/>
      <c r="H161" s="432"/>
      <c r="I161" s="432"/>
      <c r="J161" s="433"/>
    </row>
    <row r="162" spans="1:10" x14ac:dyDescent="0.25">
      <c r="A162" s="431"/>
      <c r="B162" s="432"/>
      <c r="C162" s="432"/>
      <c r="D162" s="432"/>
      <c r="E162" s="432"/>
      <c r="F162" s="432"/>
      <c r="G162" s="432"/>
      <c r="H162" s="432"/>
      <c r="I162" s="432"/>
      <c r="J162" s="433"/>
    </row>
    <row r="163" spans="1:10" x14ac:dyDescent="0.25">
      <c r="A163" s="431"/>
      <c r="B163" s="432"/>
      <c r="C163" s="432"/>
      <c r="D163" s="432"/>
      <c r="E163" s="432"/>
      <c r="F163" s="432"/>
      <c r="G163" s="432"/>
      <c r="H163" s="432"/>
      <c r="I163" s="432"/>
      <c r="J163" s="433"/>
    </row>
    <row r="164" spans="1:10" x14ac:dyDescent="0.25">
      <c r="A164" s="431"/>
      <c r="B164" s="432"/>
      <c r="C164" s="432"/>
      <c r="D164" s="432"/>
      <c r="E164" s="432"/>
      <c r="F164" s="432"/>
      <c r="G164" s="432"/>
      <c r="H164" s="432"/>
      <c r="I164" s="432"/>
      <c r="J164" s="433"/>
    </row>
    <row r="165" spans="1:10" x14ac:dyDescent="0.25">
      <c r="A165" s="434"/>
      <c r="B165" s="435"/>
      <c r="C165" s="435"/>
      <c r="D165" s="435"/>
      <c r="E165" s="435"/>
      <c r="F165" s="435"/>
      <c r="G165" s="435"/>
      <c r="H165" s="435"/>
      <c r="I165" s="435"/>
      <c r="J165" s="436"/>
    </row>
    <row r="166" spans="1:10" x14ac:dyDescent="0.25">
      <c r="A166" s="33"/>
      <c r="B166" s="33"/>
      <c r="C166" s="33"/>
      <c r="D166" s="33"/>
      <c r="E166" s="33"/>
      <c r="F166" s="33"/>
      <c r="G166" s="33"/>
      <c r="H166" s="33"/>
      <c r="I166" s="33"/>
      <c r="J166" s="33"/>
    </row>
    <row r="167" spans="1:10" ht="15.6" x14ac:dyDescent="0.3">
      <c r="A167" s="372" t="s">
        <v>76</v>
      </c>
      <c r="B167" s="373"/>
      <c r="C167" s="373"/>
      <c r="D167" s="373"/>
      <c r="E167" s="373"/>
      <c r="F167" s="373"/>
      <c r="G167" s="373"/>
      <c r="H167" s="370" t="str">
        <f>'CONTACT INFORMATION'!$A$24</f>
        <v>Ventura</v>
      </c>
      <c r="I167" s="370"/>
      <c r="J167" s="371"/>
    </row>
    <row r="168" spans="1:10" x14ac:dyDescent="0.25">
      <c r="A168" s="152"/>
      <c r="B168" s="152"/>
      <c r="C168" s="152"/>
      <c r="D168" s="152"/>
      <c r="E168" s="152"/>
      <c r="F168" s="152"/>
      <c r="G168" s="152"/>
      <c r="H168" s="152"/>
      <c r="I168" s="152"/>
      <c r="J168" s="152"/>
    </row>
    <row r="169" spans="1:10" ht="13.8" x14ac:dyDescent="0.25">
      <c r="A169" s="460" t="s">
        <v>205</v>
      </c>
      <c r="B169" s="461"/>
      <c r="C169" s="461"/>
      <c r="D169" s="461"/>
      <c r="E169" s="461"/>
      <c r="F169" s="461"/>
      <c r="G169" s="461"/>
      <c r="H169" s="461"/>
      <c r="I169" s="461"/>
      <c r="J169" s="462"/>
    </row>
    <row r="170" spans="1:10" x14ac:dyDescent="0.25">
      <c r="A170" s="463" t="s">
        <v>151</v>
      </c>
      <c r="B170" s="464"/>
      <c r="C170" s="464"/>
      <c r="D170" s="465"/>
      <c r="E170" s="466"/>
      <c r="F170" s="467"/>
      <c r="G170" s="467"/>
      <c r="H170" s="467"/>
      <c r="I170" s="467"/>
      <c r="J170" s="468"/>
    </row>
    <row r="171" spans="1:10" x14ac:dyDescent="0.25">
      <c r="A171" s="472" t="s">
        <v>181</v>
      </c>
      <c r="B171" s="473"/>
      <c r="C171" s="473"/>
      <c r="D171" s="474"/>
      <c r="E171" s="469"/>
      <c r="F171" s="470"/>
      <c r="G171" s="470"/>
      <c r="H171" s="470"/>
      <c r="I171" s="470"/>
      <c r="J171" s="471"/>
    </row>
    <row r="172" spans="1:10" x14ac:dyDescent="0.25">
      <c r="A172" s="475" t="s">
        <v>182</v>
      </c>
      <c r="B172" s="476"/>
      <c r="C172" s="476"/>
      <c r="D172" s="477"/>
      <c r="E172" s="593"/>
      <c r="F172" s="594"/>
      <c r="G172" s="594"/>
      <c r="H172" s="594"/>
      <c r="I172" s="594"/>
      <c r="J172" s="595"/>
    </row>
    <row r="173" spans="1:10" x14ac:dyDescent="0.25">
      <c r="A173" s="146"/>
      <c r="B173" s="220"/>
      <c r="C173" s="220"/>
      <c r="D173" s="220"/>
      <c r="E173" s="481" t="s">
        <v>155</v>
      </c>
      <c r="F173" s="482"/>
      <c r="G173" s="481" t="s">
        <v>156</v>
      </c>
      <c r="H173" s="482"/>
      <c r="I173" s="483" t="s">
        <v>157</v>
      </c>
      <c r="J173" s="484"/>
    </row>
    <row r="174" spans="1:10" x14ac:dyDescent="0.25">
      <c r="A174" s="449" t="s">
        <v>158</v>
      </c>
      <c r="B174" s="450"/>
      <c r="C174" s="450"/>
      <c r="D174" s="451"/>
      <c r="E174" s="458"/>
      <c r="F174" s="458"/>
      <c r="G174" s="458"/>
      <c r="H174" s="458"/>
      <c r="I174" s="459"/>
      <c r="J174" s="459"/>
    </row>
    <row r="175" spans="1:10" x14ac:dyDescent="0.25">
      <c r="A175" s="454" t="s">
        <v>159</v>
      </c>
      <c r="B175" s="455"/>
      <c r="C175" s="455"/>
      <c r="D175" s="456"/>
      <c r="E175" s="440"/>
      <c r="F175" s="440"/>
      <c r="G175" s="441"/>
      <c r="H175" s="441"/>
      <c r="I175" s="457"/>
      <c r="J175" s="457"/>
    </row>
    <row r="176" spans="1:10" x14ac:dyDescent="0.25">
      <c r="A176" s="449" t="s">
        <v>160</v>
      </c>
      <c r="B176" s="450"/>
      <c r="C176" s="450"/>
      <c r="D176" s="451"/>
      <c r="E176" s="458"/>
      <c r="F176" s="458"/>
      <c r="G176" s="458"/>
      <c r="H176" s="458"/>
      <c r="I176" s="459"/>
      <c r="J176" s="459"/>
    </row>
    <row r="177" spans="1:10" x14ac:dyDescent="0.25">
      <c r="A177" s="454" t="s">
        <v>161</v>
      </c>
      <c r="B177" s="455"/>
      <c r="C177" s="455"/>
      <c r="D177" s="456"/>
      <c r="E177" s="440"/>
      <c r="F177" s="440"/>
      <c r="G177" s="441"/>
      <c r="H177" s="441"/>
      <c r="I177" s="457"/>
      <c r="J177" s="457"/>
    </row>
    <row r="178" spans="1:10" x14ac:dyDescent="0.25">
      <c r="A178" s="449" t="s">
        <v>162</v>
      </c>
      <c r="B178" s="450"/>
      <c r="C178" s="450"/>
      <c r="D178" s="451"/>
      <c r="E178" s="458"/>
      <c r="F178" s="458"/>
      <c r="G178" s="458"/>
      <c r="H178" s="458"/>
      <c r="I178" s="459"/>
      <c r="J178" s="459"/>
    </row>
    <row r="179" spans="1:10" x14ac:dyDescent="0.25">
      <c r="A179" s="454" t="s">
        <v>163</v>
      </c>
      <c r="B179" s="455"/>
      <c r="C179" s="455"/>
      <c r="D179" s="456"/>
      <c r="E179" s="440"/>
      <c r="F179" s="440"/>
      <c r="G179" s="441"/>
      <c r="H179" s="441"/>
      <c r="I179" s="457"/>
      <c r="J179" s="457"/>
    </row>
    <row r="180" spans="1:10" x14ac:dyDescent="0.25">
      <c r="A180" s="449" t="s">
        <v>164</v>
      </c>
      <c r="B180" s="450"/>
      <c r="C180" s="450"/>
      <c r="D180" s="451"/>
      <c r="E180" s="452"/>
      <c r="F180" s="452"/>
      <c r="G180" s="452"/>
      <c r="H180" s="452"/>
      <c r="I180" s="453"/>
      <c r="J180" s="453"/>
    </row>
    <row r="181" spans="1:10" x14ac:dyDescent="0.25">
      <c r="A181" s="437"/>
      <c r="B181" s="438"/>
      <c r="C181" s="438"/>
      <c r="D181" s="439"/>
      <c r="E181" s="440"/>
      <c r="F181" s="440"/>
      <c r="G181" s="441"/>
      <c r="H181" s="441"/>
      <c r="I181" s="441"/>
      <c r="J181" s="441"/>
    </row>
    <row r="182" spans="1:10" x14ac:dyDescent="0.25">
      <c r="A182" s="437"/>
      <c r="B182" s="438"/>
      <c r="C182" s="438"/>
      <c r="D182" s="439"/>
      <c r="E182" s="440"/>
      <c r="F182" s="440"/>
      <c r="G182" s="441"/>
      <c r="H182" s="441"/>
      <c r="I182" s="441"/>
      <c r="J182" s="441"/>
    </row>
    <row r="183" spans="1:10" x14ac:dyDescent="0.25">
      <c r="A183" s="437"/>
      <c r="B183" s="438"/>
      <c r="C183" s="438"/>
      <c r="D183" s="439"/>
      <c r="E183" s="440"/>
      <c r="F183" s="440"/>
      <c r="G183" s="441"/>
      <c r="H183" s="441"/>
      <c r="I183" s="441"/>
      <c r="J183" s="441"/>
    </row>
    <row r="184" spans="1:10" x14ac:dyDescent="0.25">
      <c r="A184" s="442" t="s">
        <v>165</v>
      </c>
      <c r="B184" s="443"/>
      <c r="C184" s="443"/>
      <c r="D184" s="444"/>
      <c r="E184" s="445">
        <f>SUM(E174:E183)</f>
        <v>0</v>
      </c>
      <c r="F184" s="445"/>
      <c r="G184" s="445">
        <f>SUM(G174:G183)</f>
        <v>0</v>
      </c>
      <c r="H184" s="445"/>
      <c r="I184" s="445">
        <f>SUM(I174:I183)</f>
        <v>0</v>
      </c>
      <c r="J184" s="445"/>
    </row>
    <row r="185" spans="1:10" x14ac:dyDescent="0.25">
      <c r="A185" s="446" t="s">
        <v>166</v>
      </c>
      <c r="B185" s="447"/>
      <c r="C185" s="447"/>
      <c r="D185" s="447"/>
      <c r="E185" s="447"/>
      <c r="F185" s="447"/>
      <c r="G185" s="447"/>
      <c r="H185" s="447"/>
      <c r="I185" s="447"/>
      <c r="J185" s="448"/>
    </row>
    <row r="186" spans="1:10" x14ac:dyDescent="0.25">
      <c r="A186" s="423" t="s">
        <v>167</v>
      </c>
      <c r="B186" s="424"/>
      <c r="C186" s="424"/>
      <c r="D186" s="424"/>
      <c r="E186" s="424"/>
      <c r="F186" s="424"/>
      <c r="G186" s="424"/>
      <c r="H186" s="424"/>
      <c r="I186" s="424"/>
      <c r="J186" s="425"/>
    </row>
    <row r="187" spans="1:10" x14ac:dyDescent="0.25">
      <c r="A187" s="423" t="s">
        <v>168</v>
      </c>
      <c r="B187" s="424"/>
      <c r="C187" s="424"/>
      <c r="D187" s="424"/>
      <c r="E187" s="424"/>
      <c r="F187" s="424"/>
      <c r="G187" s="424"/>
      <c r="H187" s="424"/>
      <c r="I187" s="424"/>
      <c r="J187" s="425"/>
    </row>
    <row r="188" spans="1:10" x14ac:dyDescent="0.25">
      <c r="A188" s="426" t="s">
        <v>169</v>
      </c>
      <c r="B188" s="427"/>
      <c r="C188" s="427"/>
      <c r="D188" s="427"/>
      <c r="E188" s="427"/>
      <c r="F188" s="427"/>
      <c r="G188" s="427"/>
      <c r="H188" s="427"/>
      <c r="I188" s="427"/>
      <c r="J188" s="428"/>
    </row>
    <row r="189" spans="1:10" x14ac:dyDescent="0.25">
      <c r="A189" s="316"/>
      <c r="B189" s="429"/>
      <c r="C189" s="429"/>
      <c r="D189" s="429"/>
      <c r="E189" s="429"/>
      <c r="F189" s="429"/>
      <c r="G189" s="429"/>
      <c r="H189" s="429"/>
      <c r="I189" s="429"/>
      <c r="J189" s="430"/>
    </row>
    <row r="190" spans="1:10" x14ac:dyDescent="0.25">
      <c r="A190" s="431"/>
      <c r="B190" s="432"/>
      <c r="C190" s="432"/>
      <c r="D190" s="432"/>
      <c r="E190" s="432"/>
      <c r="F190" s="432"/>
      <c r="G190" s="432"/>
      <c r="H190" s="432"/>
      <c r="I190" s="432"/>
      <c r="J190" s="433"/>
    </row>
    <row r="191" spans="1:10" x14ac:dyDescent="0.25">
      <c r="A191" s="431"/>
      <c r="B191" s="432"/>
      <c r="C191" s="432"/>
      <c r="D191" s="432"/>
      <c r="E191" s="432"/>
      <c r="F191" s="432"/>
      <c r="G191" s="432"/>
      <c r="H191" s="432"/>
      <c r="I191" s="432"/>
      <c r="J191" s="433"/>
    </row>
    <row r="192" spans="1:10" x14ac:dyDescent="0.25">
      <c r="A192" s="431"/>
      <c r="B192" s="432"/>
      <c r="C192" s="432"/>
      <c r="D192" s="432"/>
      <c r="E192" s="432"/>
      <c r="F192" s="432"/>
      <c r="G192" s="432"/>
      <c r="H192" s="432"/>
      <c r="I192" s="432"/>
      <c r="J192" s="433"/>
    </row>
    <row r="193" spans="1:10" x14ac:dyDescent="0.25">
      <c r="A193" s="431"/>
      <c r="B193" s="432"/>
      <c r="C193" s="432"/>
      <c r="D193" s="432"/>
      <c r="E193" s="432"/>
      <c r="F193" s="432"/>
      <c r="G193" s="432"/>
      <c r="H193" s="432"/>
      <c r="I193" s="432"/>
      <c r="J193" s="433"/>
    </row>
    <row r="194" spans="1:10" x14ac:dyDescent="0.25">
      <c r="A194" s="431"/>
      <c r="B194" s="432"/>
      <c r="C194" s="432"/>
      <c r="D194" s="432"/>
      <c r="E194" s="432"/>
      <c r="F194" s="432"/>
      <c r="G194" s="432"/>
      <c r="H194" s="432"/>
      <c r="I194" s="432"/>
      <c r="J194" s="433"/>
    </row>
    <row r="195" spans="1:10" x14ac:dyDescent="0.25">
      <c r="A195" s="431"/>
      <c r="B195" s="432"/>
      <c r="C195" s="432"/>
      <c r="D195" s="432"/>
      <c r="E195" s="432"/>
      <c r="F195" s="432"/>
      <c r="G195" s="432"/>
      <c r="H195" s="432"/>
      <c r="I195" s="432"/>
      <c r="J195" s="433"/>
    </row>
    <row r="196" spans="1:10" x14ac:dyDescent="0.25">
      <c r="A196" s="431"/>
      <c r="B196" s="432"/>
      <c r="C196" s="432"/>
      <c r="D196" s="432"/>
      <c r="E196" s="432"/>
      <c r="F196" s="432"/>
      <c r="G196" s="432"/>
      <c r="H196" s="432"/>
      <c r="I196" s="432"/>
      <c r="J196" s="433"/>
    </row>
    <row r="197" spans="1:10" x14ac:dyDescent="0.25">
      <c r="A197" s="431"/>
      <c r="B197" s="432"/>
      <c r="C197" s="432"/>
      <c r="D197" s="432"/>
      <c r="E197" s="432"/>
      <c r="F197" s="432"/>
      <c r="G197" s="432"/>
      <c r="H197" s="432"/>
      <c r="I197" s="432"/>
      <c r="J197" s="433"/>
    </row>
    <row r="198" spans="1:10" x14ac:dyDescent="0.25">
      <c r="A198" s="431"/>
      <c r="B198" s="432"/>
      <c r="C198" s="432"/>
      <c r="D198" s="432"/>
      <c r="E198" s="432"/>
      <c r="F198" s="432"/>
      <c r="G198" s="432"/>
      <c r="H198" s="432"/>
      <c r="I198" s="432"/>
      <c r="J198" s="433"/>
    </row>
    <row r="199" spans="1:10" x14ac:dyDescent="0.25">
      <c r="A199" s="431"/>
      <c r="B199" s="432"/>
      <c r="C199" s="432"/>
      <c r="D199" s="432"/>
      <c r="E199" s="432"/>
      <c r="F199" s="432"/>
      <c r="G199" s="432"/>
      <c r="H199" s="432"/>
      <c r="I199" s="432"/>
      <c r="J199" s="433"/>
    </row>
    <row r="200" spans="1:10" x14ac:dyDescent="0.25">
      <c r="A200" s="431"/>
      <c r="B200" s="432"/>
      <c r="C200" s="432"/>
      <c r="D200" s="432"/>
      <c r="E200" s="432"/>
      <c r="F200" s="432"/>
      <c r="G200" s="432"/>
      <c r="H200" s="432"/>
      <c r="I200" s="432"/>
      <c r="J200" s="433"/>
    </row>
    <row r="201" spans="1:10" x14ac:dyDescent="0.25">
      <c r="A201" s="431"/>
      <c r="B201" s="432"/>
      <c r="C201" s="432"/>
      <c r="D201" s="432"/>
      <c r="E201" s="432"/>
      <c r="F201" s="432"/>
      <c r="G201" s="432"/>
      <c r="H201" s="432"/>
      <c r="I201" s="432"/>
      <c r="J201" s="433"/>
    </row>
    <row r="202" spans="1:10" x14ac:dyDescent="0.25">
      <c r="A202" s="431"/>
      <c r="B202" s="432"/>
      <c r="C202" s="432"/>
      <c r="D202" s="432"/>
      <c r="E202" s="432"/>
      <c r="F202" s="432"/>
      <c r="G202" s="432"/>
      <c r="H202" s="432"/>
      <c r="I202" s="432"/>
      <c r="J202" s="433"/>
    </row>
    <row r="203" spans="1:10" x14ac:dyDescent="0.25">
      <c r="A203" s="431"/>
      <c r="B203" s="432"/>
      <c r="C203" s="432"/>
      <c r="D203" s="432"/>
      <c r="E203" s="432"/>
      <c r="F203" s="432"/>
      <c r="G203" s="432"/>
      <c r="H203" s="432"/>
      <c r="I203" s="432"/>
      <c r="J203" s="433"/>
    </row>
    <row r="204" spans="1:10" x14ac:dyDescent="0.25">
      <c r="A204" s="431"/>
      <c r="B204" s="432"/>
      <c r="C204" s="432"/>
      <c r="D204" s="432"/>
      <c r="E204" s="432"/>
      <c r="F204" s="432"/>
      <c r="G204" s="432"/>
      <c r="H204" s="432"/>
      <c r="I204" s="432"/>
      <c r="J204" s="433"/>
    </row>
    <row r="205" spans="1:10" x14ac:dyDescent="0.25">
      <c r="A205" s="431"/>
      <c r="B205" s="432"/>
      <c r="C205" s="432"/>
      <c r="D205" s="432"/>
      <c r="E205" s="432"/>
      <c r="F205" s="432"/>
      <c r="G205" s="432"/>
      <c r="H205" s="432"/>
      <c r="I205" s="432"/>
      <c r="J205" s="433"/>
    </row>
    <row r="206" spans="1:10" x14ac:dyDescent="0.25">
      <c r="A206" s="431"/>
      <c r="B206" s="432"/>
      <c r="C206" s="432"/>
      <c r="D206" s="432"/>
      <c r="E206" s="432"/>
      <c r="F206" s="432"/>
      <c r="G206" s="432"/>
      <c r="H206" s="432"/>
      <c r="I206" s="432"/>
      <c r="J206" s="433"/>
    </row>
    <row r="207" spans="1:10" x14ac:dyDescent="0.25">
      <c r="A207" s="431"/>
      <c r="B207" s="432"/>
      <c r="C207" s="432"/>
      <c r="D207" s="432"/>
      <c r="E207" s="432"/>
      <c r="F207" s="432"/>
      <c r="G207" s="432"/>
      <c r="H207" s="432"/>
      <c r="I207" s="432"/>
      <c r="J207" s="433"/>
    </row>
    <row r="208" spans="1:10" x14ac:dyDescent="0.25">
      <c r="A208" s="431"/>
      <c r="B208" s="432"/>
      <c r="C208" s="432"/>
      <c r="D208" s="432"/>
      <c r="E208" s="432"/>
      <c r="F208" s="432"/>
      <c r="G208" s="432"/>
      <c r="H208" s="432"/>
      <c r="I208" s="432"/>
      <c r="J208" s="433"/>
    </row>
    <row r="209" spans="1:10" x14ac:dyDescent="0.25">
      <c r="A209" s="431"/>
      <c r="B209" s="432"/>
      <c r="C209" s="432"/>
      <c r="D209" s="432"/>
      <c r="E209" s="432"/>
      <c r="F209" s="432"/>
      <c r="G209" s="432"/>
      <c r="H209" s="432"/>
      <c r="I209" s="432"/>
      <c r="J209" s="433"/>
    </row>
    <row r="210" spans="1:10" x14ac:dyDescent="0.25">
      <c r="A210" s="431"/>
      <c r="B210" s="432"/>
      <c r="C210" s="432"/>
      <c r="D210" s="432"/>
      <c r="E210" s="432"/>
      <c r="F210" s="432"/>
      <c r="G210" s="432"/>
      <c r="H210" s="432"/>
      <c r="I210" s="432"/>
      <c r="J210" s="433"/>
    </row>
    <row r="211" spans="1:10" x14ac:dyDescent="0.25">
      <c r="A211" s="431"/>
      <c r="B211" s="432"/>
      <c r="C211" s="432"/>
      <c r="D211" s="432"/>
      <c r="E211" s="432"/>
      <c r="F211" s="432"/>
      <c r="G211" s="432"/>
      <c r="H211" s="432"/>
      <c r="I211" s="432"/>
      <c r="J211" s="433"/>
    </row>
    <row r="212" spans="1:10" x14ac:dyDescent="0.25">
      <c r="A212" s="431"/>
      <c r="B212" s="432"/>
      <c r="C212" s="432"/>
      <c r="D212" s="432"/>
      <c r="E212" s="432"/>
      <c r="F212" s="432"/>
      <c r="G212" s="432"/>
      <c r="H212" s="432"/>
      <c r="I212" s="432"/>
      <c r="J212" s="433"/>
    </row>
    <row r="213" spans="1:10" x14ac:dyDescent="0.25">
      <c r="A213" s="431"/>
      <c r="B213" s="432"/>
      <c r="C213" s="432"/>
      <c r="D213" s="432"/>
      <c r="E213" s="432"/>
      <c r="F213" s="432"/>
      <c r="G213" s="432"/>
      <c r="H213" s="432"/>
      <c r="I213" s="432"/>
      <c r="J213" s="433"/>
    </row>
    <row r="214" spans="1:10" x14ac:dyDescent="0.25">
      <c r="A214" s="431"/>
      <c r="B214" s="432"/>
      <c r="C214" s="432"/>
      <c r="D214" s="432"/>
      <c r="E214" s="432"/>
      <c r="F214" s="432"/>
      <c r="G214" s="432"/>
      <c r="H214" s="432"/>
      <c r="I214" s="432"/>
      <c r="J214" s="433"/>
    </row>
    <row r="215" spans="1:10" x14ac:dyDescent="0.25">
      <c r="A215" s="431"/>
      <c r="B215" s="432"/>
      <c r="C215" s="432"/>
      <c r="D215" s="432"/>
      <c r="E215" s="432"/>
      <c r="F215" s="432"/>
      <c r="G215" s="432"/>
      <c r="H215" s="432"/>
      <c r="I215" s="432"/>
      <c r="J215" s="433"/>
    </row>
    <row r="216" spans="1:10" x14ac:dyDescent="0.25">
      <c r="A216" s="431"/>
      <c r="B216" s="432"/>
      <c r="C216" s="432"/>
      <c r="D216" s="432"/>
      <c r="E216" s="432"/>
      <c r="F216" s="432"/>
      <c r="G216" s="432"/>
      <c r="H216" s="432"/>
      <c r="I216" s="432"/>
      <c r="J216" s="433"/>
    </row>
    <row r="217" spans="1:10" x14ac:dyDescent="0.25">
      <c r="A217" s="431"/>
      <c r="B217" s="432"/>
      <c r="C217" s="432"/>
      <c r="D217" s="432"/>
      <c r="E217" s="432"/>
      <c r="F217" s="432"/>
      <c r="G217" s="432"/>
      <c r="H217" s="432"/>
      <c r="I217" s="432"/>
      <c r="J217" s="433"/>
    </row>
    <row r="218" spans="1:10" x14ac:dyDescent="0.25">
      <c r="A218" s="431"/>
      <c r="B218" s="432"/>
      <c r="C218" s="432"/>
      <c r="D218" s="432"/>
      <c r="E218" s="432"/>
      <c r="F218" s="432"/>
      <c r="G218" s="432"/>
      <c r="H218" s="432"/>
      <c r="I218" s="432"/>
      <c r="J218" s="433"/>
    </row>
    <row r="219" spans="1:10" x14ac:dyDescent="0.25">
      <c r="A219" s="431"/>
      <c r="B219" s="432"/>
      <c r="C219" s="432"/>
      <c r="D219" s="432"/>
      <c r="E219" s="432"/>
      <c r="F219" s="432"/>
      <c r="G219" s="432"/>
      <c r="H219" s="432"/>
      <c r="I219" s="432"/>
      <c r="J219" s="433"/>
    </row>
    <row r="220" spans="1:10" x14ac:dyDescent="0.25">
      <c r="A220" s="434"/>
      <c r="B220" s="435"/>
      <c r="C220" s="435"/>
      <c r="D220" s="435"/>
      <c r="E220" s="435"/>
      <c r="F220" s="435"/>
      <c r="G220" s="435"/>
      <c r="H220" s="435"/>
      <c r="I220" s="435"/>
      <c r="J220" s="436"/>
    </row>
    <row r="222" spans="1:10" ht="15.6" x14ac:dyDescent="0.3">
      <c r="A222" s="372" t="s">
        <v>76</v>
      </c>
      <c r="B222" s="373"/>
      <c r="C222" s="373"/>
      <c r="D222" s="373"/>
      <c r="E222" s="373"/>
      <c r="F222" s="373"/>
      <c r="G222" s="373"/>
      <c r="H222" s="370" t="str">
        <f>'CONTACT INFORMATION'!$A$24</f>
        <v>Ventura</v>
      </c>
      <c r="I222" s="370"/>
      <c r="J222" s="371"/>
    </row>
    <row r="223" spans="1:10" x14ac:dyDescent="0.25">
      <c r="A223" s="152"/>
      <c r="B223" s="152"/>
      <c r="C223" s="152"/>
      <c r="D223" s="152"/>
      <c r="E223" s="152"/>
      <c r="F223" s="152"/>
      <c r="G223" s="152"/>
      <c r="H223" s="152"/>
      <c r="I223" s="152"/>
      <c r="J223" s="152"/>
    </row>
    <row r="224" spans="1:10" ht="13.8" x14ac:dyDescent="0.25">
      <c r="A224" s="460" t="s">
        <v>206</v>
      </c>
      <c r="B224" s="461"/>
      <c r="C224" s="461"/>
      <c r="D224" s="461"/>
      <c r="E224" s="461"/>
      <c r="F224" s="461"/>
      <c r="G224" s="461"/>
      <c r="H224" s="461"/>
      <c r="I224" s="461"/>
      <c r="J224" s="462"/>
    </row>
    <row r="225" spans="1:10" x14ac:dyDescent="0.25">
      <c r="A225" s="463" t="s">
        <v>151</v>
      </c>
      <c r="B225" s="464"/>
      <c r="C225" s="464"/>
      <c r="D225" s="465"/>
      <c r="E225" s="466"/>
      <c r="F225" s="467"/>
      <c r="G225" s="467"/>
      <c r="H225" s="467"/>
      <c r="I225" s="467"/>
      <c r="J225" s="468"/>
    </row>
    <row r="226" spans="1:10" x14ac:dyDescent="0.25">
      <c r="A226" s="472" t="s">
        <v>181</v>
      </c>
      <c r="B226" s="473"/>
      <c r="C226" s="473"/>
      <c r="D226" s="474"/>
      <c r="E226" s="469"/>
      <c r="F226" s="470"/>
      <c r="G226" s="470"/>
      <c r="H226" s="470"/>
      <c r="I226" s="470"/>
      <c r="J226" s="471"/>
    </row>
    <row r="227" spans="1:10" x14ac:dyDescent="0.25">
      <c r="A227" s="475" t="s">
        <v>182</v>
      </c>
      <c r="B227" s="476"/>
      <c r="C227" s="476"/>
      <c r="D227" s="477"/>
      <c r="E227" s="593"/>
      <c r="F227" s="594"/>
      <c r="G227" s="594"/>
      <c r="H227" s="594"/>
      <c r="I227" s="594"/>
      <c r="J227" s="595"/>
    </row>
    <row r="228" spans="1:10" x14ac:dyDescent="0.25">
      <c r="A228" s="146"/>
      <c r="B228" s="220"/>
      <c r="C228" s="220"/>
      <c r="D228" s="220"/>
      <c r="E228" s="481" t="s">
        <v>155</v>
      </c>
      <c r="F228" s="482"/>
      <c r="G228" s="481" t="s">
        <v>156</v>
      </c>
      <c r="H228" s="482"/>
      <c r="I228" s="483" t="s">
        <v>157</v>
      </c>
      <c r="J228" s="484"/>
    </row>
    <row r="229" spans="1:10" x14ac:dyDescent="0.25">
      <c r="A229" s="449" t="s">
        <v>158</v>
      </c>
      <c r="B229" s="450"/>
      <c r="C229" s="450"/>
      <c r="D229" s="451"/>
      <c r="E229" s="458"/>
      <c r="F229" s="458"/>
      <c r="G229" s="458"/>
      <c r="H229" s="458"/>
      <c r="I229" s="459"/>
      <c r="J229" s="459"/>
    </row>
    <row r="230" spans="1:10" x14ac:dyDescent="0.25">
      <c r="A230" s="454" t="s">
        <v>159</v>
      </c>
      <c r="B230" s="455"/>
      <c r="C230" s="455"/>
      <c r="D230" s="456"/>
      <c r="E230" s="440"/>
      <c r="F230" s="440"/>
      <c r="G230" s="441"/>
      <c r="H230" s="441"/>
      <c r="I230" s="457"/>
      <c r="J230" s="457"/>
    </row>
    <row r="231" spans="1:10" x14ac:dyDescent="0.25">
      <c r="A231" s="449" t="s">
        <v>160</v>
      </c>
      <c r="B231" s="450"/>
      <c r="C231" s="450"/>
      <c r="D231" s="451"/>
      <c r="E231" s="458"/>
      <c r="F231" s="458"/>
      <c r="G231" s="458"/>
      <c r="H231" s="458"/>
      <c r="I231" s="459"/>
      <c r="J231" s="459"/>
    </row>
    <row r="232" spans="1:10" x14ac:dyDescent="0.25">
      <c r="A232" s="454" t="s">
        <v>161</v>
      </c>
      <c r="B232" s="455"/>
      <c r="C232" s="455"/>
      <c r="D232" s="456"/>
      <c r="E232" s="440"/>
      <c r="F232" s="440"/>
      <c r="G232" s="441"/>
      <c r="H232" s="441"/>
      <c r="I232" s="457"/>
      <c r="J232" s="457"/>
    </row>
    <row r="233" spans="1:10" x14ac:dyDescent="0.25">
      <c r="A233" s="449" t="s">
        <v>162</v>
      </c>
      <c r="B233" s="450"/>
      <c r="C233" s="450"/>
      <c r="D233" s="451"/>
      <c r="E233" s="458"/>
      <c r="F233" s="458"/>
      <c r="G233" s="458"/>
      <c r="H233" s="458"/>
      <c r="I233" s="459"/>
      <c r="J233" s="459"/>
    </row>
    <row r="234" spans="1:10" x14ac:dyDescent="0.25">
      <c r="A234" s="454" t="s">
        <v>163</v>
      </c>
      <c r="B234" s="455"/>
      <c r="C234" s="455"/>
      <c r="D234" s="456"/>
      <c r="E234" s="440"/>
      <c r="F234" s="440"/>
      <c r="G234" s="441"/>
      <c r="H234" s="441"/>
      <c r="I234" s="457"/>
      <c r="J234" s="457"/>
    </row>
    <row r="235" spans="1:10" x14ac:dyDescent="0.25">
      <c r="A235" s="449" t="s">
        <v>164</v>
      </c>
      <c r="B235" s="450"/>
      <c r="C235" s="450"/>
      <c r="D235" s="451"/>
      <c r="E235" s="452"/>
      <c r="F235" s="452"/>
      <c r="G235" s="452"/>
      <c r="H235" s="452"/>
      <c r="I235" s="453"/>
      <c r="J235" s="453"/>
    </row>
    <row r="236" spans="1:10" x14ac:dyDescent="0.25">
      <c r="A236" s="437"/>
      <c r="B236" s="438"/>
      <c r="C236" s="438"/>
      <c r="D236" s="439"/>
      <c r="E236" s="440"/>
      <c r="F236" s="440"/>
      <c r="G236" s="441"/>
      <c r="H236" s="441"/>
      <c r="I236" s="441"/>
      <c r="J236" s="441"/>
    </row>
    <row r="237" spans="1:10" x14ac:dyDescent="0.25">
      <c r="A237" s="437"/>
      <c r="B237" s="438"/>
      <c r="C237" s="438"/>
      <c r="D237" s="439"/>
      <c r="E237" s="440"/>
      <c r="F237" s="440"/>
      <c r="G237" s="441"/>
      <c r="H237" s="441"/>
      <c r="I237" s="441"/>
      <c r="J237" s="441"/>
    </row>
    <row r="238" spans="1:10" x14ac:dyDescent="0.25">
      <c r="A238" s="437"/>
      <c r="B238" s="438"/>
      <c r="C238" s="438"/>
      <c r="D238" s="439"/>
      <c r="E238" s="440"/>
      <c r="F238" s="440"/>
      <c r="G238" s="441"/>
      <c r="H238" s="441"/>
      <c r="I238" s="441"/>
      <c r="J238" s="441"/>
    </row>
    <row r="239" spans="1:10" x14ac:dyDescent="0.25">
      <c r="A239" s="442" t="s">
        <v>165</v>
      </c>
      <c r="B239" s="443"/>
      <c r="C239" s="443"/>
      <c r="D239" s="444"/>
      <c r="E239" s="445">
        <f>SUM(E229:E238)</f>
        <v>0</v>
      </c>
      <c r="F239" s="445"/>
      <c r="G239" s="445">
        <f>SUM(G229:G238)</f>
        <v>0</v>
      </c>
      <c r="H239" s="445"/>
      <c r="I239" s="445">
        <f>SUM(I229:I238)</f>
        <v>0</v>
      </c>
      <c r="J239" s="445"/>
    </row>
    <row r="240" spans="1:10" x14ac:dyDescent="0.25">
      <c r="A240" s="446" t="s">
        <v>166</v>
      </c>
      <c r="B240" s="447"/>
      <c r="C240" s="447"/>
      <c r="D240" s="447"/>
      <c r="E240" s="447"/>
      <c r="F240" s="447"/>
      <c r="G240" s="447"/>
      <c r="H240" s="447"/>
      <c r="I240" s="447"/>
      <c r="J240" s="448"/>
    </row>
    <row r="241" spans="1:10" x14ac:dyDescent="0.25">
      <c r="A241" s="423" t="s">
        <v>167</v>
      </c>
      <c r="B241" s="424"/>
      <c r="C241" s="424"/>
      <c r="D241" s="424"/>
      <c r="E241" s="424"/>
      <c r="F241" s="424"/>
      <c r="G241" s="424"/>
      <c r="H241" s="424"/>
      <c r="I241" s="424"/>
      <c r="J241" s="425"/>
    </row>
    <row r="242" spans="1:10" x14ac:dyDescent="0.25">
      <c r="A242" s="423" t="s">
        <v>168</v>
      </c>
      <c r="B242" s="424"/>
      <c r="C242" s="424"/>
      <c r="D242" s="424"/>
      <c r="E242" s="424"/>
      <c r="F242" s="424"/>
      <c r="G242" s="424"/>
      <c r="H242" s="424"/>
      <c r="I242" s="424"/>
      <c r="J242" s="425"/>
    </row>
    <row r="243" spans="1:10" x14ac:dyDescent="0.25">
      <c r="A243" s="426" t="s">
        <v>169</v>
      </c>
      <c r="B243" s="427"/>
      <c r="C243" s="427"/>
      <c r="D243" s="427"/>
      <c r="E243" s="427"/>
      <c r="F243" s="427"/>
      <c r="G243" s="427"/>
      <c r="H243" s="427"/>
      <c r="I243" s="427"/>
      <c r="J243" s="428"/>
    </row>
    <row r="244" spans="1:10" x14ac:dyDescent="0.25">
      <c r="A244" s="316"/>
      <c r="B244" s="429"/>
      <c r="C244" s="429"/>
      <c r="D244" s="429"/>
      <c r="E244" s="429"/>
      <c r="F244" s="429"/>
      <c r="G244" s="429"/>
      <c r="H244" s="429"/>
      <c r="I244" s="429"/>
      <c r="J244" s="430"/>
    </row>
    <row r="245" spans="1:10" x14ac:dyDescent="0.25">
      <c r="A245" s="431"/>
      <c r="B245" s="432"/>
      <c r="C245" s="432"/>
      <c r="D245" s="432"/>
      <c r="E245" s="432"/>
      <c r="F245" s="432"/>
      <c r="G245" s="432"/>
      <c r="H245" s="432"/>
      <c r="I245" s="432"/>
      <c r="J245" s="433"/>
    </row>
    <row r="246" spans="1:10" x14ac:dyDescent="0.25">
      <c r="A246" s="431"/>
      <c r="B246" s="432"/>
      <c r="C246" s="432"/>
      <c r="D246" s="432"/>
      <c r="E246" s="432"/>
      <c r="F246" s="432"/>
      <c r="G246" s="432"/>
      <c r="H246" s="432"/>
      <c r="I246" s="432"/>
      <c r="J246" s="433"/>
    </row>
    <row r="247" spans="1:10" x14ac:dyDescent="0.25">
      <c r="A247" s="431"/>
      <c r="B247" s="432"/>
      <c r="C247" s="432"/>
      <c r="D247" s="432"/>
      <c r="E247" s="432"/>
      <c r="F247" s="432"/>
      <c r="G247" s="432"/>
      <c r="H247" s="432"/>
      <c r="I247" s="432"/>
      <c r="J247" s="433"/>
    </row>
    <row r="248" spans="1:10" x14ac:dyDescent="0.25">
      <c r="A248" s="431"/>
      <c r="B248" s="432"/>
      <c r="C248" s="432"/>
      <c r="D248" s="432"/>
      <c r="E248" s="432"/>
      <c r="F248" s="432"/>
      <c r="G248" s="432"/>
      <c r="H248" s="432"/>
      <c r="I248" s="432"/>
      <c r="J248" s="433"/>
    </row>
    <row r="249" spans="1:10" x14ac:dyDescent="0.25">
      <c r="A249" s="431"/>
      <c r="B249" s="432"/>
      <c r="C249" s="432"/>
      <c r="D249" s="432"/>
      <c r="E249" s="432"/>
      <c r="F249" s="432"/>
      <c r="G249" s="432"/>
      <c r="H249" s="432"/>
      <c r="I249" s="432"/>
      <c r="J249" s="433"/>
    </row>
    <row r="250" spans="1:10" x14ac:dyDescent="0.25">
      <c r="A250" s="431"/>
      <c r="B250" s="432"/>
      <c r="C250" s="432"/>
      <c r="D250" s="432"/>
      <c r="E250" s="432"/>
      <c r="F250" s="432"/>
      <c r="G250" s="432"/>
      <c r="H250" s="432"/>
      <c r="I250" s="432"/>
      <c r="J250" s="433"/>
    </row>
    <row r="251" spans="1:10" x14ac:dyDescent="0.25">
      <c r="A251" s="431"/>
      <c r="B251" s="432"/>
      <c r="C251" s="432"/>
      <c r="D251" s="432"/>
      <c r="E251" s="432"/>
      <c r="F251" s="432"/>
      <c r="G251" s="432"/>
      <c r="H251" s="432"/>
      <c r="I251" s="432"/>
      <c r="J251" s="433"/>
    </row>
    <row r="252" spans="1:10" x14ac:dyDescent="0.25">
      <c r="A252" s="431"/>
      <c r="B252" s="432"/>
      <c r="C252" s="432"/>
      <c r="D252" s="432"/>
      <c r="E252" s="432"/>
      <c r="F252" s="432"/>
      <c r="G252" s="432"/>
      <c r="H252" s="432"/>
      <c r="I252" s="432"/>
      <c r="J252" s="433"/>
    </row>
    <row r="253" spans="1:10" x14ac:dyDescent="0.25">
      <c r="A253" s="431"/>
      <c r="B253" s="432"/>
      <c r="C253" s="432"/>
      <c r="D253" s="432"/>
      <c r="E253" s="432"/>
      <c r="F253" s="432"/>
      <c r="G253" s="432"/>
      <c r="H253" s="432"/>
      <c r="I253" s="432"/>
      <c r="J253" s="433"/>
    </row>
    <row r="254" spans="1:10" x14ac:dyDescent="0.25">
      <c r="A254" s="431"/>
      <c r="B254" s="432"/>
      <c r="C254" s="432"/>
      <c r="D254" s="432"/>
      <c r="E254" s="432"/>
      <c r="F254" s="432"/>
      <c r="G254" s="432"/>
      <c r="H254" s="432"/>
      <c r="I254" s="432"/>
      <c r="J254" s="433"/>
    </row>
    <row r="255" spans="1:10" x14ac:dyDescent="0.25">
      <c r="A255" s="431"/>
      <c r="B255" s="432"/>
      <c r="C255" s="432"/>
      <c r="D255" s="432"/>
      <c r="E255" s="432"/>
      <c r="F255" s="432"/>
      <c r="G255" s="432"/>
      <c r="H255" s="432"/>
      <c r="I255" s="432"/>
      <c r="J255" s="433"/>
    </row>
    <row r="256" spans="1:10" x14ac:dyDescent="0.25">
      <c r="A256" s="431"/>
      <c r="B256" s="432"/>
      <c r="C256" s="432"/>
      <c r="D256" s="432"/>
      <c r="E256" s="432"/>
      <c r="F256" s="432"/>
      <c r="G256" s="432"/>
      <c r="H256" s="432"/>
      <c r="I256" s="432"/>
      <c r="J256" s="433"/>
    </row>
    <row r="257" spans="1:10" x14ac:dyDescent="0.25">
      <c r="A257" s="431"/>
      <c r="B257" s="432"/>
      <c r="C257" s="432"/>
      <c r="D257" s="432"/>
      <c r="E257" s="432"/>
      <c r="F257" s="432"/>
      <c r="G257" s="432"/>
      <c r="H257" s="432"/>
      <c r="I257" s="432"/>
      <c r="J257" s="433"/>
    </row>
    <row r="258" spans="1:10" x14ac:dyDescent="0.25">
      <c r="A258" s="431"/>
      <c r="B258" s="432"/>
      <c r="C258" s="432"/>
      <c r="D258" s="432"/>
      <c r="E258" s="432"/>
      <c r="F258" s="432"/>
      <c r="G258" s="432"/>
      <c r="H258" s="432"/>
      <c r="I258" s="432"/>
      <c r="J258" s="433"/>
    </row>
    <row r="259" spans="1:10" x14ac:dyDescent="0.25">
      <c r="A259" s="431"/>
      <c r="B259" s="432"/>
      <c r="C259" s="432"/>
      <c r="D259" s="432"/>
      <c r="E259" s="432"/>
      <c r="F259" s="432"/>
      <c r="G259" s="432"/>
      <c r="H259" s="432"/>
      <c r="I259" s="432"/>
      <c r="J259" s="433"/>
    </row>
    <row r="260" spans="1:10" x14ac:dyDescent="0.25">
      <c r="A260" s="431"/>
      <c r="B260" s="432"/>
      <c r="C260" s="432"/>
      <c r="D260" s="432"/>
      <c r="E260" s="432"/>
      <c r="F260" s="432"/>
      <c r="G260" s="432"/>
      <c r="H260" s="432"/>
      <c r="I260" s="432"/>
      <c r="J260" s="433"/>
    </row>
    <row r="261" spans="1:10" x14ac:dyDescent="0.25">
      <c r="A261" s="431"/>
      <c r="B261" s="432"/>
      <c r="C261" s="432"/>
      <c r="D261" s="432"/>
      <c r="E261" s="432"/>
      <c r="F261" s="432"/>
      <c r="G261" s="432"/>
      <c r="H261" s="432"/>
      <c r="I261" s="432"/>
      <c r="J261" s="433"/>
    </row>
    <row r="262" spans="1:10" x14ac:dyDescent="0.25">
      <c r="A262" s="431"/>
      <c r="B262" s="432"/>
      <c r="C262" s="432"/>
      <c r="D262" s="432"/>
      <c r="E262" s="432"/>
      <c r="F262" s="432"/>
      <c r="G262" s="432"/>
      <c r="H262" s="432"/>
      <c r="I262" s="432"/>
      <c r="J262" s="433"/>
    </row>
    <row r="263" spans="1:10" x14ac:dyDescent="0.25">
      <c r="A263" s="431"/>
      <c r="B263" s="432"/>
      <c r="C263" s="432"/>
      <c r="D263" s="432"/>
      <c r="E263" s="432"/>
      <c r="F263" s="432"/>
      <c r="G263" s="432"/>
      <c r="H263" s="432"/>
      <c r="I263" s="432"/>
      <c r="J263" s="433"/>
    </row>
    <row r="264" spans="1:10" x14ac:dyDescent="0.25">
      <c r="A264" s="431"/>
      <c r="B264" s="432"/>
      <c r="C264" s="432"/>
      <c r="D264" s="432"/>
      <c r="E264" s="432"/>
      <c r="F264" s="432"/>
      <c r="G264" s="432"/>
      <c r="H264" s="432"/>
      <c r="I264" s="432"/>
      <c r="J264" s="433"/>
    </row>
    <row r="265" spans="1:10" x14ac:dyDescent="0.25">
      <c r="A265" s="431"/>
      <c r="B265" s="432"/>
      <c r="C265" s="432"/>
      <c r="D265" s="432"/>
      <c r="E265" s="432"/>
      <c r="F265" s="432"/>
      <c r="G265" s="432"/>
      <c r="H265" s="432"/>
      <c r="I265" s="432"/>
      <c r="J265" s="433"/>
    </row>
    <row r="266" spans="1:10" x14ac:dyDescent="0.25">
      <c r="A266" s="431"/>
      <c r="B266" s="432"/>
      <c r="C266" s="432"/>
      <c r="D266" s="432"/>
      <c r="E266" s="432"/>
      <c r="F266" s="432"/>
      <c r="G266" s="432"/>
      <c r="H266" s="432"/>
      <c r="I266" s="432"/>
      <c r="J266" s="433"/>
    </row>
    <row r="267" spans="1:10" x14ac:dyDescent="0.25">
      <c r="A267" s="431"/>
      <c r="B267" s="432"/>
      <c r="C267" s="432"/>
      <c r="D267" s="432"/>
      <c r="E267" s="432"/>
      <c r="F267" s="432"/>
      <c r="G267" s="432"/>
      <c r="H267" s="432"/>
      <c r="I267" s="432"/>
      <c r="J267" s="433"/>
    </row>
    <row r="268" spans="1:10" x14ac:dyDescent="0.25">
      <c r="A268" s="431"/>
      <c r="B268" s="432"/>
      <c r="C268" s="432"/>
      <c r="D268" s="432"/>
      <c r="E268" s="432"/>
      <c r="F268" s="432"/>
      <c r="G268" s="432"/>
      <c r="H268" s="432"/>
      <c r="I268" s="432"/>
      <c r="J268" s="433"/>
    </row>
    <row r="269" spans="1:10" x14ac:dyDescent="0.25">
      <c r="A269" s="431"/>
      <c r="B269" s="432"/>
      <c r="C269" s="432"/>
      <c r="D269" s="432"/>
      <c r="E269" s="432"/>
      <c r="F269" s="432"/>
      <c r="G269" s="432"/>
      <c r="H269" s="432"/>
      <c r="I269" s="432"/>
      <c r="J269" s="433"/>
    </row>
    <row r="270" spans="1:10" x14ac:dyDescent="0.25">
      <c r="A270" s="431"/>
      <c r="B270" s="432"/>
      <c r="C270" s="432"/>
      <c r="D270" s="432"/>
      <c r="E270" s="432"/>
      <c r="F270" s="432"/>
      <c r="G270" s="432"/>
      <c r="H270" s="432"/>
      <c r="I270" s="432"/>
      <c r="J270" s="433"/>
    </row>
    <row r="271" spans="1:10" x14ac:dyDescent="0.25">
      <c r="A271" s="431"/>
      <c r="B271" s="432"/>
      <c r="C271" s="432"/>
      <c r="D271" s="432"/>
      <c r="E271" s="432"/>
      <c r="F271" s="432"/>
      <c r="G271" s="432"/>
      <c r="H271" s="432"/>
      <c r="I271" s="432"/>
      <c r="J271" s="433"/>
    </row>
    <row r="272" spans="1:10" x14ac:dyDescent="0.25">
      <c r="A272" s="431"/>
      <c r="B272" s="432"/>
      <c r="C272" s="432"/>
      <c r="D272" s="432"/>
      <c r="E272" s="432"/>
      <c r="F272" s="432"/>
      <c r="G272" s="432"/>
      <c r="H272" s="432"/>
      <c r="I272" s="432"/>
      <c r="J272" s="433"/>
    </row>
    <row r="273" spans="1:10" x14ac:dyDescent="0.25">
      <c r="A273" s="431"/>
      <c r="B273" s="432"/>
      <c r="C273" s="432"/>
      <c r="D273" s="432"/>
      <c r="E273" s="432"/>
      <c r="F273" s="432"/>
      <c r="G273" s="432"/>
      <c r="H273" s="432"/>
      <c r="I273" s="432"/>
      <c r="J273" s="433"/>
    </row>
    <row r="274" spans="1:10" x14ac:dyDescent="0.25">
      <c r="A274" s="431"/>
      <c r="B274" s="432"/>
      <c r="C274" s="432"/>
      <c r="D274" s="432"/>
      <c r="E274" s="432"/>
      <c r="F274" s="432"/>
      <c r="G274" s="432"/>
      <c r="H274" s="432"/>
      <c r="I274" s="432"/>
      <c r="J274" s="433"/>
    </row>
    <row r="275" spans="1:10" x14ac:dyDescent="0.25">
      <c r="A275" s="434"/>
      <c r="B275" s="435"/>
      <c r="C275" s="435"/>
      <c r="D275" s="435"/>
      <c r="E275" s="435"/>
      <c r="F275" s="435"/>
      <c r="G275" s="435"/>
      <c r="H275" s="435"/>
      <c r="I275" s="435"/>
      <c r="J275" s="436"/>
    </row>
    <row r="277" spans="1:10" ht="15.6" x14ac:dyDescent="0.3">
      <c r="A277" s="372" t="s">
        <v>76</v>
      </c>
      <c r="B277" s="373"/>
      <c r="C277" s="373"/>
      <c r="D277" s="373"/>
      <c r="E277" s="373"/>
      <c r="F277" s="373"/>
      <c r="G277" s="373"/>
      <c r="H277" s="370" t="str">
        <f>'CONTACT INFORMATION'!$A$24</f>
        <v>Ventura</v>
      </c>
      <c r="I277" s="370"/>
      <c r="J277" s="371"/>
    </row>
    <row r="278" spans="1:10" ht="15.6" x14ac:dyDescent="0.3">
      <c r="A278" s="51"/>
      <c r="B278" s="51"/>
      <c r="C278" s="51"/>
      <c r="D278" s="51"/>
      <c r="E278" s="51"/>
      <c r="F278" s="51"/>
      <c r="G278" s="51"/>
      <c r="H278" s="51"/>
      <c r="I278" s="51"/>
      <c r="J278" s="51"/>
    </row>
    <row r="279" spans="1:10" ht="13.8" x14ac:dyDescent="0.25">
      <c r="A279" s="460" t="s">
        <v>207</v>
      </c>
      <c r="B279" s="461"/>
      <c r="C279" s="461"/>
      <c r="D279" s="461"/>
      <c r="E279" s="461"/>
      <c r="F279" s="461"/>
      <c r="G279" s="461"/>
      <c r="H279" s="461"/>
      <c r="I279" s="461"/>
      <c r="J279" s="462"/>
    </row>
    <row r="280" spans="1:10" ht="13.2" customHeight="1" x14ac:dyDescent="0.25">
      <c r="A280" s="463" t="s">
        <v>151</v>
      </c>
      <c r="B280" s="528"/>
      <c r="C280" s="528"/>
      <c r="D280" s="592"/>
      <c r="E280" s="466"/>
      <c r="F280" s="467"/>
      <c r="G280" s="467"/>
      <c r="H280" s="467"/>
      <c r="I280" s="467"/>
      <c r="J280" s="468"/>
    </row>
    <row r="281" spans="1:10" ht="13.2" customHeight="1" x14ac:dyDescent="0.25">
      <c r="A281" s="472" t="s">
        <v>181</v>
      </c>
      <c r="B281" s="473"/>
      <c r="C281" s="473"/>
      <c r="D281" s="474"/>
      <c r="E281" s="469"/>
      <c r="F281" s="470"/>
      <c r="G281" s="470"/>
      <c r="H281" s="470"/>
      <c r="I281" s="470"/>
      <c r="J281" s="471"/>
    </row>
    <row r="282" spans="1:10" x14ac:dyDescent="0.25">
      <c r="A282" s="475" t="s">
        <v>182</v>
      </c>
      <c r="B282" s="476"/>
      <c r="C282" s="476"/>
      <c r="D282" s="477"/>
      <c r="E282" s="478"/>
      <c r="F282" s="479"/>
      <c r="G282" s="479"/>
      <c r="H282" s="479"/>
      <c r="I282" s="479"/>
      <c r="J282" s="480"/>
    </row>
    <row r="283" spans="1:10" ht="13.2" customHeight="1" x14ac:dyDescent="0.25">
      <c r="A283" s="52"/>
      <c r="B283" s="53"/>
      <c r="C283" s="53"/>
      <c r="D283" s="53"/>
      <c r="E283" s="589" t="s">
        <v>155</v>
      </c>
      <c r="F283" s="589"/>
      <c r="G283" s="589" t="s">
        <v>156</v>
      </c>
      <c r="H283" s="589"/>
      <c r="I283" s="590" t="s">
        <v>157</v>
      </c>
      <c r="J283" s="591"/>
    </row>
    <row r="284" spans="1:10" x14ac:dyDescent="0.25">
      <c r="A284" s="449" t="s">
        <v>158</v>
      </c>
      <c r="B284" s="450"/>
      <c r="C284" s="450"/>
      <c r="D284" s="451"/>
      <c r="E284" s="585"/>
      <c r="F284" s="586"/>
      <c r="G284" s="585"/>
      <c r="H284" s="586"/>
      <c r="I284" s="587"/>
      <c r="J284" s="588"/>
    </row>
    <row r="285" spans="1:10" x14ac:dyDescent="0.25">
      <c r="A285" s="454" t="s">
        <v>159</v>
      </c>
      <c r="B285" s="455"/>
      <c r="C285" s="455"/>
      <c r="D285" s="456"/>
      <c r="E285" s="573"/>
      <c r="F285" s="574"/>
      <c r="G285" s="575"/>
      <c r="H285" s="576"/>
      <c r="I285" s="579"/>
      <c r="J285" s="580"/>
    </row>
    <row r="286" spans="1:10" x14ac:dyDescent="0.25">
      <c r="A286" s="449" t="s">
        <v>160</v>
      </c>
      <c r="B286" s="450"/>
      <c r="C286" s="450"/>
      <c r="D286" s="451"/>
      <c r="E286" s="585"/>
      <c r="F286" s="586"/>
      <c r="G286" s="585"/>
      <c r="H286" s="586"/>
      <c r="I286" s="587"/>
      <c r="J286" s="588"/>
    </row>
    <row r="287" spans="1:10" x14ac:dyDescent="0.25">
      <c r="A287" s="454" t="s">
        <v>161</v>
      </c>
      <c r="B287" s="455"/>
      <c r="C287" s="455"/>
      <c r="D287" s="456"/>
      <c r="E287" s="573"/>
      <c r="F287" s="574"/>
      <c r="G287" s="575"/>
      <c r="H287" s="576"/>
      <c r="I287" s="579"/>
      <c r="J287" s="580"/>
    </row>
    <row r="288" spans="1:10" x14ac:dyDescent="0.25">
      <c r="A288" s="449" t="s">
        <v>162</v>
      </c>
      <c r="B288" s="450"/>
      <c r="C288" s="450"/>
      <c r="D288" s="451"/>
      <c r="E288" s="585"/>
      <c r="F288" s="586"/>
      <c r="G288" s="585"/>
      <c r="H288" s="586"/>
      <c r="I288" s="587"/>
      <c r="J288" s="588"/>
    </row>
    <row r="289" spans="1:10" x14ac:dyDescent="0.25">
      <c r="A289" s="454" t="s">
        <v>163</v>
      </c>
      <c r="B289" s="455"/>
      <c r="C289" s="455"/>
      <c r="D289" s="456"/>
      <c r="E289" s="573"/>
      <c r="F289" s="574"/>
      <c r="G289" s="575"/>
      <c r="H289" s="576"/>
      <c r="I289" s="579"/>
      <c r="J289" s="580"/>
    </row>
    <row r="290" spans="1:10" x14ac:dyDescent="0.25">
      <c r="A290" s="449" t="s">
        <v>164</v>
      </c>
      <c r="B290" s="450"/>
      <c r="C290" s="450"/>
      <c r="D290" s="451"/>
      <c r="E290" s="581"/>
      <c r="F290" s="582"/>
      <c r="G290" s="581"/>
      <c r="H290" s="582"/>
      <c r="I290" s="583"/>
      <c r="J290" s="584"/>
    </row>
    <row r="291" spans="1:10" x14ac:dyDescent="0.25">
      <c r="A291" s="437"/>
      <c r="B291" s="438"/>
      <c r="C291" s="438"/>
      <c r="D291" s="439"/>
      <c r="E291" s="573"/>
      <c r="F291" s="574"/>
      <c r="G291" s="575"/>
      <c r="H291" s="576"/>
      <c r="I291" s="575"/>
      <c r="J291" s="576"/>
    </row>
    <row r="292" spans="1:10" x14ac:dyDescent="0.25">
      <c r="A292" s="437"/>
      <c r="B292" s="438"/>
      <c r="C292" s="438"/>
      <c r="D292" s="439"/>
      <c r="E292" s="573"/>
      <c r="F292" s="574"/>
      <c r="G292" s="575"/>
      <c r="H292" s="576"/>
      <c r="I292" s="575"/>
      <c r="J292" s="576"/>
    </row>
    <row r="293" spans="1:10" x14ac:dyDescent="0.25">
      <c r="A293" s="437"/>
      <c r="B293" s="438"/>
      <c r="C293" s="438"/>
      <c r="D293" s="439"/>
      <c r="E293" s="573"/>
      <c r="F293" s="574"/>
      <c r="G293" s="575"/>
      <c r="H293" s="576"/>
      <c r="I293" s="575"/>
      <c r="J293" s="576"/>
    </row>
    <row r="294" spans="1:10" x14ac:dyDescent="0.25">
      <c r="A294" s="442" t="s">
        <v>165</v>
      </c>
      <c r="B294" s="443"/>
      <c r="C294" s="443"/>
      <c r="D294" s="444"/>
      <c r="E294" s="577">
        <f>SUM(E284:E293)</f>
        <v>0</v>
      </c>
      <c r="F294" s="578"/>
      <c r="G294" s="577">
        <f>SUM(G284:G293)</f>
        <v>0</v>
      </c>
      <c r="H294" s="578"/>
      <c r="I294" s="577">
        <f>SUM(I284:I293)</f>
        <v>0</v>
      </c>
      <c r="J294" s="578"/>
    </row>
    <row r="295" spans="1:10" ht="13.2" customHeight="1" x14ac:dyDescent="0.25">
      <c r="A295" s="446" t="s">
        <v>166</v>
      </c>
      <c r="B295" s="567"/>
      <c r="C295" s="567"/>
      <c r="D295" s="567"/>
      <c r="E295" s="567"/>
      <c r="F295" s="567"/>
      <c r="G295" s="567"/>
      <c r="H295" s="567"/>
      <c r="I295" s="567"/>
      <c r="J295" s="568"/>
    </row>
    <row r="296" spans="1:10" ht="13.2" customHeight="1" x14ac:dyDescent="0.25">
      <c r="A296" s="423" t="s">
        <v>167</v>
      </c>
      <c r="B296" s="569"/>
      <c r="C296" s="569"/>
      <c r="D296" s="569"/>
      <c r="E296" s="569"/>
      <c r="F296" s="569"/>
      <c r="G296" s="569"/>
      <c r="H296" s="569"/>
      <c r="I296" s="569"/>
      <c r="J296" s="570"/>
    </row>
    <row r="297" spans="1:10" ht="13.2" customHeight="1" x14ac:dyDescent="0.25">
      <c r="A297" s="423" t="s">
        <v>168</v>
      </c>
      <c r="B297" s="569"/>
      <c r="C297" s="569"/>
      <c r="D297" s="569"/>
      <c r="E297" s="569"/>
      <c r="F297" s="569"/>
      <c r="G297" s="569"/>
      <c r="H297" s="569"/>
      <c r="I297" s="569"/>
      <c r="J297" s="570"/>
    </row>
    <row r="298" spans="1:10" ht="13.2" customHeight="1" x14ac:dyDescent="0.25">
      <c r="A298" s="426" t="s">
        <v>169</v>
      </c>
      <c r="B298" s="571"/>
      <c r="C298" s="571"/>
      <c r="D298" s="571"/>
      <c r="E298" s="571"/>
      <c r="F298" s="571"/>
      <c r="G298" s="571"/>
      <c r="H298" s="571"/>
      <c r="I298" s="571"/>
      <c r="J298" s="572"/>
    </row>
    <row r="299" spans="1:10" ht="13.2" customHeight="1" x14ac:dyDescent="0.25">
      <c r="A299" s="552"/>
      <c r="B299" s="553"/>
      <c r="C299" s="553"/>
      <c r="D299" s="553"/>
      <c r="E299" s="553"/>
      <c r="F299" s="553"/>
      <c r="G299" s="553"/>
      <c r="H299" s="553"/>
      <c r="I299" s="553"/>
      <c r="J299" s="554"/>
    </row>
    <row r="300" spans="1:10" x14ac:dyDescent="0.25">
      <c r="A300" s="555"/>
      <c r="B300" s="556"/>
      <c r="C300" s="556"/>
      <c r="D300" s="556"/>
      <c r="E300" s="556"/>
      <c r="F300" s="556"/>
      <c r="G300" s="556"/>
      <c r="H300" s="556"/>
      <c r="I300" s="556"/>
      <c r="J300" s="557"/>
    </row>
    <row r="301" spans="1:10" x14ac:dyDescent="0.25">
      <c r="A301" s="555"/>
      <c r="B301" s="556"/>
      <c r="C301" s="556"/>
      <c r="D301" s="556"/>
      <c r="E301" s="556"/>
      <c r="F301" s="556"/>
      <c r="G301" s="556"/>
      <c r="H301" s="556"/>
      <c r="I301" s="556"/>
      <c r="J301" s="557"/>
    </row>
    <row r="302" spans="1:10" x14ac:dyDescent="0.25">
      <c r="A302" s="555"/>
      <c r="B302" s="556"/>
      <c r="C302" s="556"/>
      <c r="D302" s="556"/>
      <c r="E302" s="556"/>
      <c r="F302" s="556"/>
      <c r="G302" s="556"/>
      <c r="H302" s="556"/>
      <c r="I302" s="556"/>
      <c r="J302" s="557"/>
    </row>
    <row r="303" spans="1:10" x14ac:dyDescent="0.25">
      <c r="A303" s="555"/>
      <c r="B303" s="556"/>
      <c r="C303" s="556"/>
      <c r="D303" s="556"/>
      <c r="E303" s="556"/>
      <c r="F303" s="556"/>
      <c r="G303" s="556"/>
      <c r="H303" s="556"/>
      <c r="I303" s="556"/>
      <c r="J303" s="557"/>
    </row>
    <row r="304" spans="1:10" x14ac:dyDescent="0.25">
      <c r="A304" s="555"/>
      <c r="B304" s="556"/>
      <c r="C304" s="556"/>
      <c r="D304" s="556"/>
      <c r="E304" s="556"/>
      <c r="F304" s="556"/>
      <c r="G304" s="556"/>
      <c r="H304" s="556"/>
      <c r="I304" s="556"/>
      <c r="J304" s="557"/>
    </row>
    <row r="305" spans="1:10" x14ac:dyDescent="0.25">
      <c r="A305" s="555"/>
      <c r="B305" s="556"/>
      <c r="C305" s="556"/>
      <c r="D305" s="556"/>
      <c r="E305" s="556"/>
      <c r="F305" s="556"/>
      <c r="G305" s="556"/>
      <c r="H305" s="556"/>
      <c r="I305" s="556"/>
      <c r="J305" s="557"/>
    </row>
    <row r="306" spans="1:10" x14ac:dyDescent="0.25">
      <c r="A306" s="555"/>
      <c r="B306" s="556"/>
      <c r="C306" s="556"/>
      <c r="D306" s="556"/>
      <c r="E306" s="556"/>
      <c r="F306" s="556"/>
      <c r="G306" s="556"/>
      <c r="H306" s="556"/>
      <c r="I306" s="556"/>
      <c r="J306" s="557"/>
    </row>
    <row r="307" spans="1:10" x14ac:dyDescent="0.25">
      <c r="A307" s="555"/>
      <c r="B307" s="556"/>
      <c r="C307" s="556"/>
      <c r="D307" s="556"/>
      <c r="E307" s="556"/>
      <c r="F307" s="556"/>
      <c r="G307" s="556"/>
      <c r="H307" s="556"/>
      <c r="I307" s="556"/>
      <c r="J307" s="557"/>
    </row>
    <row r="308" spans="1:10" x14ac:dyDescent="0.25">
      <c r="A308" s="555"/>
      <c r="B308" s="556"/>
      <c r="C308" s="556"/>
      <c r="D308" s="556"/>
      <c r="E308" s="556"/>
      <c r="F308" s="556"/>
      <c r="G308" s="556"/>
      <c r="H308" s="556"/>
      <c r="I308" s="556"/>
      <c r="J308" s="557"/>
    </row>
    <row r="309" spans="1:10" x14ac:dyDescent="0.25">
      <c r="A309" s="555"/>
      <c r="B309" s="556"/>
      <c r="C309" s="556"/>
      <c r="D309" s="556"/>
      <c r="E309" s="556"/>
      <c r="F309" s="556"/>
      <c r="G309" s="556"/>
      <c r="H309" s="556"/>
      <c r="I309" s="556"/>
      <c r="J309" s="557"/>
    </row>
    <row r="310" spans="1:10" x14ac:dyDescent="0.25">
      <c r="A310" s="555"/>
      <c r="B310" s="556"/>
      <c r="C310" s="556"/>
      <c r="D310" s="556"/>
      <c r="E310" s="556"/>
      <c r="F310" s="556"/>
      <c r="G310" s="556"/>
      <c r="H310" s="556"/>
      <c r="I310" s="556"/>
      <c r="J310" s="557"/>
    </row>
    <row r="311" spans="1:10" x14ac:dyDescent="0.25">
      <c r="A311" s="555"/>
      <c r="B311" s="556"/>
      <c r="C311" s="556"/>
      <c r="D311" s="556"/>
      <c r="E311" s="556"/>
      <c r="F311" s="556"/>
      <c r="G311" s="556"/>
      <c r="H311" s="556"/>
      <c r="I311" s="556"/>
      <c r="J311" s="557"/>
    </row>
    <row r="312" spans="1:10" x14ac:dyDescent="0.25">
      <c r="A312" s="555"/>
      <c r="B312" s="556"/>
      <c r="C312" s="556"/>
      <c r="D312" s="556"/>
      <c r="E312" s="556"/>
      <c r="F312" s="556"/>
      <c r="G312" s="556"/>
      <c r="H312" s="556"/>
      <c r="I312" s="556"/>
      <c r="J312" s="557"/>
    </row>
    <row r="313" spans="1:10" x14ac:dyDescent="0.25">
      <c r="A313" s="555"/>
      <c r="B313" s="556"/>
      <c r="C313" s="556"/>
      <c r="D313" s="556"/>
      <c r="E313" s="556"/>
      <c r="F313" s="556"/>
      <c r="G313" s="556"/>
      <c r="H313" s="556"/>
      <c r="I313" s="556"/>
      <c r="J313" s="557"/>
    </row>
    <row r="314" spans="1:10" x14ac:dyDescent="0.25">
      <c r="A314" s="555"/>
      <c r="B314" s="556"/>
      <c r="C314" s="556"/>
      <c r="D314" s="556"/>
      <c r="E314" s="556"/>
      <c r="F314" s="556"/>
      <c r="G314" s="556"/>
      <c r="H314" s="556"/>
      <c r="I314" s="556"/>
      <c r="J314" s="557"/>
    </row>
    <row r="315" spans="1:10" x14ac:dyDescent="0.25">
      <c r="A315" s="555"/>
      <c r="B315" s="556"/>
      <c r="C315" s="556"/>
      <c r="D315" s="556"/>
      <c r="E315" s="556"/>
      <c r="F315" s="556"/>
      <c r="G315" s="556"/>
      <c r="H315" s="556"/>
      <c r="I315" s="556"/>
      <c r="J315" s="557"/>
    </row>
    <row r="316" spans="1:10" x14ac:dyDescent="0.25">
      <c r="A316" s="555"/>
      <c r="B316" s="556"/>
      <c r="C316" s="556"/>
      <c r="D316" s="556"/>
      <c r="E316" s="556"/>
      <c r="F316" s="556"/>
      <c r="G316" s="556"/>
      <c r="H316" s="556"/>
      <c r="I316" s="556"/>
      <c r="J316" s="557"/>
    </row>
    <row r="317" spans="1:10" x14ac:dyDescent="0.25">
      <c r="A317" s="555"/>
      <c r="B317" s="556"/>
      <c r="C317" s="556"/>
      <c r="D317" s="556"/>
      <c r="E317" s="556"/>
      <c r="F317" s="556"/>
      <c r="G317" s="556"/>
      <c r="H317" s="556"/>
      <c r="I317" s="556"/>
      <c r="J317" s="557"/>
    </row>
    <row r="318" spans="1:10" x14ac:dyDescent="0.25">
      <c r="A318" s="555"/>
      <c r="B318" s="556"/>
      <c r="C318" s="556"/>
      <c r="D318" s="556"/>
      <c r="E318" s="556"/>
      <c r="F318" s="556"/>
      <c r="G318" s="556"/>
      <c r="H318" s="556"/>
      <c r="I318" s="556"/>
      <c r="J318" s="557"/>
    </row>
    <row r="319" spans="1:10" x14ac:dyDescent="0.25">
      <c r="A319" s="555"/>
      <c r="B319" s="556"/>
      <c r="C319" s="556"/>
      <c r="D319" s="556"/>
      <c r="E319" s="556"/>
      <c r="F319" s="556"/>
      <c r="G319" s="556"/>
      <c r="H319" s="556"/>
      <c r="I319" s="556"/>
      <c r="J319" s="557"/>
    </row>
    <row r="320" spans="1:10" x14ac:dyDescent="0.25">
      <c r="A320" s="555"/>
      <c r="B320" s="556"/>
      <c r="C320" s="556"/>
      <c r="D320" s="556"/>
      <c r="E320" s="556"/>
      <c r="F320" s="556"/>
      <c r="G320" s="556"/>
      <c r="H320" s="556"/>
      <c r="I320" s="556"/>
      <c r="J320" s="557"/>
    </row>
    <row r="321" spans="1:10" x14ac:dyDescent="0.25">
      <c r="A321" s="555"/>
      <c r="B321" s="556"/>
      <c r="C321" s="556"/>
      <c r="D321" s="556"/>
      <c r="E321" s="556"/>
      <c r="F321" s="556"/>
      <c r="G321" s="556"/>
      <c r="H321" s="556"/>
      <c r="I321" s="556"/>
      <c r="J321" s="557"/>
    </row>
    <row r="322" spans="1:10" x14ac:dyDescent="0.25">
      <c r="A322" s="555"/>
      <c r="B322" s="556"/>
      <c r="C322" s="556"/>
      <c r="D322" s="556"/>
      <c r="E322" s="556"/>
      <c r="F322" s="556"/>
      <c r="G322" s="556"/>
      <c r="H322" s="556"/>
      <c r="I322" s="556"/>
      <c r="J322" s="557"/>
    </row>
    <row r="323" spans="1:10" x14ac:dyDescent="0.25">
      <c r="A323" s="555"/>
      <c r="B323" s="556"/>
      <c r="C323" s="556"/>
      <c r="D323" s="556"/>
      <c r="E323" s="556"/>
      <c r="F323" s="556"/>
      <c r="G323" s="556"/>
      <c r="H323" s="556"/>
      <c r="I323" s="556"/>
      <c r="J323" s="557"/>
    </row>
    <row r="324" spans="1:10" x14ac:dyDescent="0.25">
      <c r="A324" s="555"/>
      <c r="B324" s="556"/>
      <c r="C324" s="556"/>
      <c r="D324" s="556"/>
      <c r="E324" s="556"/>
      <c r="F324" s="556"/>
      <c r="G324" s="556"/>
      <c r="H324" s="556"/>
      <c r="I324" s="556"/>
      <c r="J324" s="557"/>
    </row>
    <row r="325" spans="1:10" x14ac:dyDescent="0.25">
      <c r="A325" s="555"/>
      <c r="B325" s="556"/>
      <c r="C325" s="556"/>
      <c r="D325" s="556"/>
      <c r="E325" s="556"/>
      <c r="F325" s="556"/>
      <c r="G325" s="556"/>
      <c r="H325" s="556"/>
      <c r="I325" s="556"/>
      <c r="J325" s="557"/>
    </row>
    <row r="326" spans="1:10" x14ac:dyDescent="0.25">
      <c r="A326" s="555"/>
      <c r="B326" s="556"/>
      <c r="C326" s="556"/>
      <c r="D326" s="556"/>
      <c r="E326" s="556"/>
      <c r="F326" s="556"/>
      <c r="G326" s="556"/>
      <c r="H326" s="556"/>
      <c r="I326" s="556"/>
      <c r="J326" s="557"/>
    </row>
    <row r="327" spans="1:10" x14ac:dyDescent="0.25">
      <c r="A327" s="555"/>
      <c r="B327" s="556"/>
      <c r="C327" s="556"/>
      <c r="D327" s="556"/>
      <c r="E327" s="556"/>
      <c r="F327" s="556"/>
      <c r="G327" s="556"/>
      <c r="H327" s="556"/>
      <c r="I327" s="556"/>
      <c r="J327" s="557"/>
    </row>
    <row r="328" spans="1:10" x14ac:dyDescent="0.25">
      <c r="A328" s="558"/>
      <c r="B328" s="559"/>
      <c r="C328" s="559"/>
      <c r="D328" s="559"/>
      <c r="E328" s="559"/>
      <c r="F328" s="559"/>
      <c r="G328" s="559"/>
      <c r="H328" s="559"/>
      <c r="I328" s="559"/>
      <c r="J328" s="560"/>
    </row>
    <row r="329" spans="1:10" x14ac:dyDescent="0.25">
      <c r="A329" s="222"/>
      <c r="B329" s="222"/>
      <c r="C329" s="222"/>
      <c r="D329" s="222"/>
      <c r="E329" s="222"/>
      <c r="F329" s="222"/>
      <c r="G329" s="222"/>
      <c r="H329" s="222"/>
      <c r="I329" s="222"/>
      <c r="J329" s="222"/>
    </row>
    <row r="330" spans="1:10" ht="15.6" x14ac:dyDescent="0.3">
      <c r="A330" s="372" t="s">
        <v>76</v>
      </c>
      <c r="B330" s="373"/>
      <c r="C330" s="373"/>
      <c r="D330" s="373"/>
      <c r="E330" s="373"/>
      <c r="F330" s="373"/>
      <c r="G330" s="373"/>
      <c r="H330" s="370" t="str">
        <f>'CONTACT INFORMATION'!$A$24</f>
        <v>Ventura</v>
      </c>
      <c r="I330" s="370"/>
      <c r="J330" s="371"/>
    </row>
    <row r="331" spans="1:10" ht="15.6" x14ac:dyDescent="0.3">
      <c r="A331" s="51"/>
      <c r="B331" s="51"/>
      <c r="C331" s="51"/>
      <c r="D331" s="51"/>
      <c r="E331" s="51"/>
      <c r="F331" s="51"/>
      <c r="G331" s="51"/>
      <c r="H331" s="51"/>
      <c r="I331" s="51"/>
      <c r="J331" s="51"/>
    </row>
    <row r="332" spans="1:10" ht="13.8" x14ac:dyDescent="0.25">
      <c r="A332" s="460" t="s">
        <v>208</v>
      </c>
      <c r="B332" s="461"/>
      <c r="C332" s="461"/>
      <c r="D332" s="461"/>
      <c r="E332" s="461"/>
      <c r="F332" s="461"/>
      <c r="G332" s="461"/>
      <c r="H332" s="461"/>
      <c r="I332" s="461"/>
      <c r="J332" s="462"/>
    </row>
    <row r="333" spans="1:10" ht="13.2" customHeight="1" x14ac:dyDescent="0.25">
      <c r="A333" s="463" t="s">
        <v>151</v>
      </c>
      <c r="B333" s="528"/>
      <c r="C333" s="528"/>
      <c r="D333" s="592"/>
      <c r="E333" s="466"/>
      <c r="F333" s="467"/>
      <c r="G333" s="467"/>
      <c r="H333" s="467"/>
      <c r="I333" s="467"/>
      <c r="J333" s="468"/>
    </row>
    <row r="334" spans="1:10" ht="13.2" customHeight="1" x14ac:dyDescent="0.25">
      <c r="A334" s="472" t="s">
        <v>181</v>
      </c>
      <c r="B334" s="473"/>
      <c r="C334" s="473"/>
      <c r="D334" s="474"/>
      <c r="E334" s="469"/>
      <c r="F334" s="470"/>
      <c r="G334" s="470"/>
      <c r="H334" s="470"/>
      <c r="I334" s="470"/>
      <c r="J334" s="471"/>
    </row>
    <row r="335" spans="1:10" x14ac:dyDescent="0.25">
      <c r="A335" s="475" t="s">
        <v>182</v>
      </c>
      <c r="B335" s="476"/>
      <c r="C335" s="476"/>
      <c r="D335" s="477"/>
      <c r="E335" s="478"/>
      <c r="F335" s="479"/>
      <c r="G335" s="479"/>
      <c r="H335" s="479"/>
      <c r="I335" s="479"/>
      <c r="J335" s="480"/>
    </row>
    <row r="336" spans="1:10" ht="13.2" customHeight="1" x14ac:dyDescent="0.25">
      <c r="A336" s="52"/>
      <c r="B336" s="53"/>
      <c r="C336" s="53"/>
      <c r="D336" s="53"/>
      <c r="E336" s="589" t="s">
        <v>155</v>
      </c>
      <c r="F336" s="589"/>
      <c r="G336" s="589" t="s">
        <v>156</v>
      </c>
      <c r="H336" s="589"/>
      <c r="I336" s="590" t="s">
        <v>157</v>
      </c>
      <c r="J336" s="591"/>
    </row>
    <row r="337" spans="1:10" x14ac:dyDescent="0.25">
      <c r="A337" s="449" t="s">
        <v>158</v>
      </c>
      <c r="B337" s="450"/>
      <c r="C337" s="450"/>
      <c r="D337" s="451"/>
      <c r="E337" s="585"/>
      <c r="F337" s="586"/>
      <c r="G337" s="585"/>
      <c r="H337" s="586"/>
      <c r="I337" s="587"/>
      <c r="J337" s="588"/>
    </row>
    <row r="338" spans="1:10" x14ac:dyDescent="0.25">
      <c r="A338" s="454" t="s">
        <v>159</v>
      </c>
      <c r="B338" s="455"/>
      <c r="C338" s="455"/>
      <c r="D338" s="456"/>
      <c r="E338" s="573"/>
      <c r="F338" s="574"/>
      <c r="G338" s="575"/>
      <c r="H338" s="576"/>
      <c r="I338" s="579"/>
      <c r="J338" s="580"/>
    </row>
    <row r="339" spans="1:10" x14ac:dyDescent="0.25">
      <c r="A339" s="449" t="s">
        <v>160</v>
      </c>
      <c r="B339" s="450"/>
      <c r="C339" s="450"/>
      <c r="D339" s="451"/>
      <c r="E339" s="585"/>
      <c r="F339" s="586"/>
      <c r="G339" s="585"/>
      <c r="H339" s="586"/>
      <c r="I339" s="587"/>
      <c r="J339" s="588"/>
    </row>
    <row r="340" spans="1:10" x14ac:dyDescent="0.25">
      <c r="A340" s="454" t="s">
        <v>161</v>
      </c>
      <c r="B340" s="455"/>
      <c r="C340" s="455"/>
      <c r="D340" s="456"/>
      <c r="E340" s="573"/>
      <c r="F340" s="574"/>
      <c r="G340" s="575"/>
      <c r="H340" s="576"/>
      <c r="I340" s="579"/>
      <c r="J340" s="580"/>
    </row>
    <row r="341" spans="1:10" x14ac:dyDescent="0.25">
      <c r="A341" s="449" t="s">
        <v>162</v>
      </c>
      <c r="B341" s="450"/>
      <c r="C341" s="450"/>
      <c r="D341" s="451"/>
      <c r="E341" s="585"/>
      <c r="F341" s="586"/>
      <c r="G341" s="585"/>
      <c r="H341" s="586"/>
      <c r="I341" s="587"/>
      <c r="J341" s="588"/>
    </row>
    <row r="342" spans="1:10" x14ac:dyDescent="0.25">
      <c r="A342" s="454" t="s">
        <v>163</v>
      </c>
      <c r="B342" s="455"/>
      <c r="C342" s="455"/>
      <c r="D342" s="456"/>
      <c r="E342" s="573"/>
      <c r="F342" s="574"/>
      <c r="G342" s="575"/>
      <c r="H342" s="576"/>
      <c r="I342" s="579"/>
      <c r="J342" s="580"/>
    </row>
    <row r="343" spans="1:10" x14ac:dyDescent="0.25">
      <c r="A343" s="449" t="s">
        <v>164</v>
      </c>
      <c r="B343" s="450"/>
      <c r="C343" s="450"/>
      <c r="D343" s="451"/>
      <c r="E343" s="581"/>
      <c r="F343" s="582"/>
      <c r="G343" s="581"/>
      <c r="H343" s="582"/>
      <c r="I343" s="583"/>
      <c r="J343" s="584"/>
    </row>
    <row r="344" spans="1:10" x14ac:dyDescent="0.25">
      <c r="A344" s="437"/>
      <c r="B344" s="438"/>
      <c r="C344" s="438"/>
      <c r="D344" s="439"/>
      <c r="E344" s="573"/>
      <c r="F344" s="574"/>
      <c r="G344" s="575"/>
      <c r="H344" s="576"/>
      <c r="I344" s="575"/>
      <c r="J344" s="576"/>
    </row>
    <row r="345" spans="1:10" x14ac:dyDescent="0.25">
      <c r="A345" s="437"/>
      <c r="B345" s="438"/>
      <c r="C345" s="438"/>
      <c r="D345" s="439"/>
      <c r="E345" s="573"/>
      <c r="F345" s="574"/>
      <c r="G345" s="575"/>
      <c r="H345" s="576"/>
      <c r="I345" s="575"/>
      <c r="J345" s="576"/>
    </row>
    <row r="346" spans="1:10" x14ac:dyDescent="0.25">
      <c r="A346" s="437"/>
      <c r="B346" s="438"/>
      <c r="C346" s="438"/>
      <c r="D346" s="439"/>
      <c r="E346" s="573"/>
      <c r="F346" s="574"/>
      <c r="G346" s="575"/>
      <c r="H346" s="576"/>
      <c r="I346" s="575"/>
      <c r="J346" s="576"/>
    </row>
    <row r="347" spans="1:10" x14ac:dyDescent="0.25">
      <c r="A347" s="442" t="s">
        <v>165</v>
      </c>
      <c r="B347" s="443"/>
      <c r="C347" s="443"/>
      <c r="D347" s="444"/>
      <c r="E347" s="577">
        <f>SUM(E337:E346)</f>
        <v>0</v>
      </c>
      <c r="F347" s="578"/>
      <c r="G347" s="577">
        <f>SUM(G337:G346)</f>
        <v>0</v>
      </c>
      <c r="H347" s="578"/>
      <c r="I347" s="577">
        <f>SUM(I337:I346)</f>
        <v>0</v>
      </c>
      <c r="J347" s="578"/>
    </row>
    <row r="348" spans="1:10" ht="13.2" customHeight="1" x14ac:dyDescent="0.25">
      <c r="A348" s="446" t="s">
        <v>166</v>
      </c>
      <c r="B348" s="567"/>
      <c r="C348" s="567"/>
      <c r="D348" s="567"/>
      <c r="E348" s="567"/>
      <c r="F348" s="567"/>
      <c r="G348" s="567"/>
      <c r="H348" s="567"/>
      <c r="I348" s="567"/>
      <c r="J348" s="568"/>
    </row>
    <row r="349" spans="1:10" ht="13.2" customHeight="1" x14ac:dyDescent="0.25">
      <c r="A349" s="423" t="s">
        <v>167</v>
      </c>
      <c r="B349" s="569"/>
      <c r="C349" s="569"/>
      <c r="D349" s="569"/>
      <c r="E349" s="569"/>
      <c r="F349" s="569"/>
      <c r="G349" s="569"/>
      <c r="H349" s="569"/>
      <c r="I349" s="569"/>
      <c r="J349" s="570"/>
    </row>
    <row r="350" spans="1:10" ht="13.2" customHeight="1" x14ac:dyDescent="0.25">
      <c r="A350" s="423" t="s">
        <v>168</v>
      </c>
      <c r="B350" s="569"/>
      <c r="C350" s="569"/>
      <c r="D350" s="569"/>
      <c r="E350" s="569"/>
      <c r="F350" s="569"/>
      <c r="G350" s="569"/>
      <c r="H350" s="569"/>
      <c r="I350" s="569"/>
      <c r="J350" s="570"/>
    </row>
    <row r="351" spans="1:10" ht="13.2" customHeight="1" x14ac:dyDescent="0.25">
      <c r="A351" s="426" t="s">
        <v>169</v>
      </c>
      <c r="B351" s="571"/>
      <c r="C351" s="571"/>
      <c r="D351" s="571"/>
      <c r="E351" s="571"/>
      <c r="F351" s="571"/>
      <c r="G351" s="571"/>
      <c r="H351" s="571"/>
      <c r="I351" s="571"/>
      <c r="J351" s="572"/>
    </row>
    <row r="352" spans="1:10" x14ac:dyDescent="0.25">
      <c r="A352" s="552"/>
      <c r="B352" s="553"/>
      <c r="C352" s="553"/>
      <c r="D352" s="553"/>
      <c r="E352" s="553"/>
      <c r="F352" s="553"/>
      <c r="G352" s="553"/>
      <c r="H352" s="553"/>
      <c r="I352" s="553"/>
      <c r="J352" s="554"/>
    </row>
    <row r="353" spans="1:10" x14ac:dyDescent="0.25">
      <c r="A353" s="555"/>
      <c r="B353" s="556"/>
      <c r="C353" s="556"/>
      <c r="D353" s="556"/>
      <c r="E353" s="556"/>
      <c r="F353" s="556"/>
      <c r="G353" s="556"/>
      <c r="H353" s="556"/>
      <c r="I353" s="556"/>
      <c r="J353" s="557"/>
    </row>
    <row r="354" spans="1:10" x14ac:dyDescent="0.25">
      <c r="A354" s="555"/>
      <c r="B354" s="556"/>
      <c r="C354" s="556"/>
      <c r="D354" s="556"/>
      <c r="E354" s="556"/>
      <c r="F354" s="556"/>
      <c r="G354" s="556"/>
      <c r="H354" s="556"/>
      <c r="I354" s="556"/>
      <c r="J354" s="557"/>
    </row>
    <row r="355" spans="1:10" x14ac:dyDescent="0.25">
      <c r="A355" s="555"/>
      <c r="B355" s="556"/>
      <c r="C355" s="556"/>
      <c r="D355" s="556"/>
      <c r="E355" s="556"/>
      <c r="F355" s="556"/>
      <c r="G355" s="556"/>
      <c r="H355" s="556"/>
      <c r="I355" s="556"/>
      <c r="J355" s="557"/>
    </row>
    <row r="356" spans="1:10" x14ac:dyDescent="0.25">
      <c r="A356" s="555"/>
      <c r="B356" s="556"/>
      <c r="C356" s="556"/>
      <c r="D356" s="556"/>
      <c r="E356" s="556"/>
      <c r="F356" s="556"/>
      <c r="G356" s="556"/>
      <c r="H356" s="556"/>
      <c r="I356" s="556"/>
      <c r="J356" s="557"/>
    </row>
    <row r="357" spans="1:10" x14ac:dyDescent="0.25">
      <c r="A357" s="555"/>
      <c r="B357" s="556"/>
      <c r="C357" s="556"/>
      <c r="D357" s="556"/>
      <c r="E357" s="556"/>
      <c r="F357" s="556"/>
      <c r="G357" s="556"/>
      <c r="H357" s="556"/>
      <c r="I357" s="556"/>
      <c r="J357" s="557"/>
    </row>
    <row r="358" spans="1:10" x14ac:dyDescent="0.25">
      <c r="A358" s="555"/>
      <c r="B358" s="556"/>
      <c r="C358" s="556"/>
      <c r="D358" s="556"/>
      <c r="E358" s="556"/>
      <c r="F358" s="556"/>
      <c r="G358" s="556"/>
      <c r="H358" s="556"/>
      <c r="I358" s="556"/>
      <c r="J358" s="557"/>
    </row>
    <row r="359" spans="1:10" x14ac:dyDescent="0.25">
      <c r="A359" s="555"/>
      <c r="B359" s="556"/>
      <c r="C359" s="556"/>
      <c r="D359" s="556"/>
      <c r="E359" s="556"/>
      <c r="F359" s="556"/>
      <c r="G359" s="556"/>
      <c r="H359" s="556"/>
      <c r="I359" s="556"/>
      <c r="J359" s="557"/>
    </row>
    <row r="360" spans="1:10" x14ac:dyDescent="0.25">
      <c r="A360" s="555"/>
      <c r="B360" s="556"/>
      <c r="C360" s="556"/>
      <c r="D360" s="556"/>
      <c r="E360" s="556"/>
      <c r="F360" s="556"/>
      <c r="G360" s="556"/>
      <c r="H360" s="556"/>
      <c r="I360" s="556"/>
      <c r="J360" s="557"/>
    </row>
    <row r="361" spans="1:10" x14ac:dyDescent="0.25">
      <c r="A361" s="555"/>
      <c r="B361" s="556"/>
      <c r="C361" s="556"/>
      <c r="D361" s="556"/>
      <c r="E361" s="556"/>
      <c r="F361" s="556"/>
      <c r="G361" s="556"/>
      <c r="H361" s="556"/>
      <c r="I361" s="556"/>
      <c r="J361" s="557"/>
    </row>
    <row r="362" spans="1:10" x14ac:dyDescent="0.25">
      <c r="A362" s="555"/>
      <c r="B362" s="556"/>
      <c r="C362" s="556"/>
      <c r="D362" s="556"/>
      <c r="E362" s="556"/>
      <c r="F362" s="556"/>
      <c r="G362" s="556"/>
      <c r="H362" s="556"/>
      <c r="I362" s="556"/>
      <c r="J362" s="557"/>
    </row>
    <row r="363" spans="1:10" x14ac:dyDescent="0.25">
      <c r="A363" s="555"/>
      <c r="B363" s="556"/>
      <c r="C363" s="556"/>
      <c r="D363" s="556"/>
      <c r="E363" s="556"/>
      <c r="F363" s="556"/>
      <c r="G363" s="556"/>
      <c r="H363" s="556"/>
      <c r="I363" s="556"/>
      <c r="J363" s="557"/>
    </row>
    <row r="364" spans="1:10" x14ac:dyDescent="0.25">
      <c r="A364" s="555"/>
      <c r="B364" s="556"/>
      <c r="C364" s="556"/>
      <c r="D364" s="556"/>
      <c r="E364" s="556"/>
      <c r="F364" s="556"/>
      <c r="G364" s="556"/>
      <c r="H364" s="556"/>
      <c r="I364" s="556"/>
      <c r="J364" s="557"/>
    </row>
    <row r="365" spans="1:10" x14ac:dyDescent="0.25">
      <c r="A365" s="555"/>
      <c r="B365" s="556"/>
      <c r="C365" s="556"/>
      <c r="D365" s="556"/>
      <c r="E365" s="556"/>
      <c r="F365" s="556"/>
      <c r="G365" s="556"/>
      <c r="H365" s="556"/>
      <c r="I365" s="556"/>
      <c r="J365" s="557"/>
    </row>
    <row r="366" spans="1:10" x14ac:dyDescent="0.25">
      <c r="A366" s="555"/>
      <c r="B366" s="556"/>
      <c r="C366" s="556"/>
      <c r="D366" s="556"/>
      <c r="E366" s="556"/>
      <c r="F366" s="556"/>
      <c r="G366" s="556"/>
      <c r="H366" s="556"/>
      <c r="I366" s="556"/>
      <c r="J366" s="557"/>
    </row>
    <row r="367" spans="1:10" x14ac:dyDescent="0.25">
      <c r="A367" s="555"/>
      <c r="B367" s="556"/>
      <c r="C367" s="556"/>
      <c r="D367" s="556"/>
      <c r="E367" s="556"/>
      <c r="F367" s="556"/>
      <c r="G367" s="556"/>
      <c r="H367" s="556"/>
      <c r="I367" s="556"/>
      <c r="J367" s="557"/>
    </row>
    <row r="368" spans="1:10" x14ac:dyDescent="0.25">
      <c r="A368" s="555"/>
      <c r="B368" s="556"/>
      <c r="C368" s="556"/>
      <c r="D368" s="556"/>
      <c r="E368" s="556"/>
      <c r="F368" s="556"/>
      <c r="G368" s="556"/>
      <c r="H368" s="556"/>
      <c r="I368" s="556"/>
      <c r="J368" s="557"/>
    </row>
    <row r="369" spans="1:10" x14ac:dyDescent="0.25">
      <c r="A369" s="555"/>
      <c r="B369" s="556"/>
      <c r="C369" s="556"/>
      <c r="D369" s="556"/>
      <c r="E369" s="556"/>
      <c r="F369" s="556"/>
      <c r="G369" s="556"/>
      <c r="H369" s="556"/>
      <c r="I369" s="556"/>
      <c r="J369" s="557"/>
    </row>
    <row r="370" spans="1:10" x14ac:dyDescent="0.25">
      <c r="A370" s="555"/>
      <c r="B370" s="556"/>
      <c r="C370" s="556"/>
      <c r="D370" s="556"/>
      <c r="E370" s="556"/>
      <c r="F370" s="556"/>
      <c r="G370" s="556"/>
      <c r="H370" s="556"/>
      <c r="I370" s="556"/>
      <c r="J370" s="557"/>
    </row>
    <row r="371" spans="1:10" x14ac:dyDescent="0.25">
      <c r="A371" s="555"/>
      <c r="B371" s="556"/>
      <c r="C371" s="556"/>
      <c r="D371" s="556"/>
      <c r="E371" s="556"/>
      <c r="F371" s="556"/>
      <c r="G371" s="556"/>
      <c r="H371" s="556"/>
      <c r="I371" s="556"/>
      <c r="J371" s="557"/>
    </row>
    <row r="372" spans="1:10" x14ac:dyDescent="0.25">
      <c r="A372" s="555"/>
      <c r="B372" s="556"/>
      <c r="C372" s="556"/>
      <c r="D372" s="556"/>
      <c r="E372" s="556"/>
      <c r="F372" s="556"/>
      <c r="G372" s="556"/>
      <c r="H372" s="556"/>
      <c r="I372" s="556"/>
      <c r="J372" s="557"/>
    </row>
    <row r="373" spans="1:10" x14ac:dyDescent="0.25">
      <c r="A373" s="555"/>
      <c r="B373" s="556"/>
      <c r="C373" s="556"/>
      <c r="D373" s="556"/>
      <c r="E373" s="556"/>
      <c r="F373" s="556"/>
      <c r="G373" s="556"/>
      <c r="H373" s="556"/>
      <c r="I373" s="556"/>
      <c r="J373" s="557"/>
    </row>
    <row r="374" spans="1:10" x14ac:dyDescent="0.25">
      <c r="A374" s="555"/>
      <c r="B374" s="556"/>
      <c r="C374" s="556"/>
      <c r="D374" s="556"/>
      <c r="E374" s="556"/>
      <c r="F374" s="556"/>
      <c r="G374" s="556"/>
      <c r="H374" s="556"/>
      <c r="I374" s="556"/>
      <c r="J374" s="557"/>
    </row>
    <row r="375" spans="1:10" x14ac:dyDescent="0.25">
      <c r="A375" s="555"/>
      <c r="B375" s="556"/>
      <c r="C375" s="556"/>
      <c r="D375" s="556"/>
      <c r="E375" s="556"/>
      <c r="F375" s="556"/>
      <c r="G375" s="556"/>
      <c r="H375" s="556"/>
      <c r="I375" s="556"/>
      <c r="J375" s="557"/>
    </row>
    <row r="376" spans="1:10" x14ac:dyDescent="0.25">
      <c r="A376" s="555"/>
      <c r="B376" s="556"/>
      <c r="C376" s="556"/>
      <c r="D376" s="556"/>
      <c r="E376" s="556"/>
      <c r="F376" s="556"/>
      <c r="G376" s="556"/>
      <c r="H376" s="556"/>
      <c r="I376" s="556"/>
      <c r="J376" s="557"/>
    </row>
    <row r="377" spans="1:10" x14ac:dyDescent="0.25">
      <c r="A377" s="555"/>
      <c r="B377" s="556"/>
      <c r="C377" s="556"/>
      <c r="D377" s="556"/>
      <c r="E377" s="556"/>
      <c r="F377" s="556"/>
      <c r="G377" s="556"/>
      <c r="H377" s="556"/>
      <c r="I377" s="556"/>
      <c r="J377" s="557"/>
    </row>
    <row r="378" spans="1:10" x14ac:dyDescent="0.25">
      <c r="A378" s="555"/>
      <c r="B378" s="556"/>
      <c r="C378" s="556"/>
      <c r="D378" s="556"/>
      <c r="E378" s="556"/>
      <c r="F378" s="556"/>
      <c r="G378" s="556"/>
      <c r="H378" s="556"/>
      <c r="I378" s="556"/>
      <c r="J378" s="557"/>
    </row>
    <row r="379" spans="1:10" x14ac:dyDescent="0.25">
      <c r="A379" s="555"/>
      <c r="B379" s="556"/>
      <c r="C379" s="556"/>
      <c r="D379" s="556"/>
      <c r="E379" s="556"/>
      <c r="F379" s="556"/>
      <c r="G379" s="556"/>
      <c r="H379" s="556"/>
      <c r="I379" s="556"/>
      <c r="J379" s="557"/>
    </row>
    <row r="380" spans="1:10" x14ac:dyDescent="0.25">
      <c r="A380" s="555"/>
      <c r="B380" s="556"/>
      <c r="C380" s="556"/>
      <c r="D380" s="556"/>
      <c r="E380" s="556"/>
      <c r="F380" s="556"/>
      <c r="G380" s="556"/>
      <c r="H380" s="556"/>
      <c r="I380" s="556"/>
      <c r="J380" s="557"/>
    </row>
    <row r="381" spans="1:10" x14ac:dyDescent="0.25">
      <c r="A381" s="555"/>
      <c r="B381" s="556"/>
      <c r="C381" s="556"/>
      <c r="D381" s="556"/>
      <c r="E381" s="556"/>
      <c r="F381" s="556"/>
      <c r="G381" s="556"/>
      <c r="H381" s="556"/>
      <c r="I381" s="556"/>
      <c r="J381" s="557"/>
    </row>
    <row r="382" spans="1:10" x14ac:dyDescent="0.25">
      <c r="A382" s="558"/>
      <c r="B382" s="559"/>
      <c r="C382" s="559"/>
      <c r="D382" s="559"/>
      <c r="E382" s="559"/>
      <c r="F382" s="559"/>
      <c r="G382" s="559"/>
      <c r="H382" s="559"/>
      <c r="I382" s="559"/>
      <c r="J382" s="560"/>
    </row>
    <row r="383" spans="1:10" x14ac:dyDescent="0.25">
      <c r="A383" s="40"/>
      <c r="B383" s="40"/>
      <c r="C383" s="40"/>
      <c r="D383" s="40"/>
      <c r="E383" s="40"/>
      <c r="F383" s="40"/>
      <c r="G383" s="40"/>
      <c r="H383" s="40"/>
      <c r="I383" s="40"/>
      <c r="J383" s="40"/>
    </row>
    <row r="384" spans="1:10" ht="15.6" x14ac:dyDescent="0.3">
      <c r="A384" s="372" t="s">
        <v>76</v>
      </c>
      <c r="B384" s="373"/>
      <c r="C384" s="373"/>
      <c r="D384" s="373"/>
      <c r="E384" s="373"/>
      <c r="F384" s="373"/>
      <c r="G384" s="373"/>
      <c r="H384" s="370" t="str">
        <f>'CONTACT INFORMATION'!$A$24</f>
        <v>Ventura</v>
      </c>
      <c r="I384" s="370"/>
      <c r="J384" s="371"/>
    </row>
    <row r="385" spans="1:10" ht="15.6" x14ac:dyDescent="0.3">
      <c r="A385" s="51"/>
      <c r="B385" s="51"/>
      <c r="C385" s="51"/>
      <c r="D385" s="51"/>
      <c r="E385" s="51"/>
      <c r="F385" s="51"/>
      <c r="G385" s="51"/>
      <c r="H385" s="51"/>
      <c r="I385" s="51"/>
      <c r="J385" s="51"/>
    </row>
    <row r="386" spans="1:10" ht="13.8" x14ac:dyDescent="0.25">
      <c r="A386" s="460" t="s">
        <v>209</v>
      </c>
      <c r="B386" s="461"/>
      <c r="C386" s="461"/>
      <c r="D386" s="461"/>
      <c r="E386" s="461"/>
      <c r="F386" s="461"/>
      <c r="G386" s="461"/>
      <c r="H386" s="461"/>
      <c r="I386" s="461"/>
      <c r="J386" s="462"/>
    </row>
    <row r="387" spans="1:10" ht="13.2" customHeight="1" x14ac:dyDescent="0.25">
      <c r="A387" s="463" t="s">
        <v>151</v>
      </c>
      <c r="B387" s="528"/>
      <c r="C387" s="528"/>
      <c r="D387" s="592"/>
      <c r="E387" s="466"/>
      <c r="F387" s="467"/>
      <c r="G387" s="467"/>
      <c r="H387" s="467"/>
      <c r="I387" s="467"/>
      <c r="J387" s="468"/>
    </row>
    <row r="388" spans="1:10" ht="13.2" customHeight="1" x14ac:dyDescent="0.25">
      <c r="A388" s="472" t="s">
        <v>181</v>
      </c>
      <c r="B388" s="473"/>
      <c r="C388" s="473"/>
      <c r="D388" s="474"/>
      <c r="E388" s="469"/>
      <c r="F388" s="470"/>
      <c r="G388" s="470"/>
      <c r="H388" s="470"/>
      <c r="I388" s="470"/>
      <c r="J388" s="471"/>
    </row>
    <row r="389" spans="1:10" x14ac:dyDescent="0.25">
      <c r="A389" s="475" t="s">
        <v>182</v>
      </c>
      <c r="B389" s="476"/>
      <c r="C389" s="476"/>
      <c r="D389" s="477"/>
      <c r="E389" s="478"/>
      <c r="F389" s="479"/>
      <c r="G389" s="479"/>
      <c r="H389" s="479"/>
      <c r="I389" s="479"/>
      <c r="J389" s="480"/>
    </row>
    <row r="390" spans="1:10" ht="13.2" customHeight="1" x14ac:dyDescent="0.25">
      <c r="A390" s="52"/>
      <c r="B390" s="53"/>
      <c r="C390" s="53"/>
      <c r="D390" s="53"/>
      <c r="E390" s="589" t="s">
        <v>155</v>
      </c>
      <c r="F390" s="589"/>
      <c r="G390" s="589" t="s">
        <v>156</v>
      </c>
      <c r="H390" s="589"/>
      <c r="I390" s="590" t="s">
        <v>157</v>
      </c>
      <c r="J390" s="591"/>
    </row>
    <row r="391" spans="1:10" x14ac:dyDescent="0.25">
      <c r="A391" s="449" t="s">
        <v>158</v>
      </c>
      <c r="B391" s="450"/>
      <c r="C391" s="450"/>
      <c r="D391" s="451"/>
      <c r="E391" s="585"/>
      <c r="F391" s="586"/>
      <c r="G391" s="585"/>
      <c r="H391" s="586"/>
      <c r="I391" s="587"/>
      <c r="J391" s="588"/>
    </row>
    <row r="392" spans="1:10" x14ac:dyDescent="0.25">
      <c r="A392" s="454" t="s">
        <v>159</v>
      </c>
      <c r="B392" s="455"/>
      <c r="C392" s="455"/>
      <c r="D392" s="456"/>
      <c r="E392" s="573"/>
      <c r="F392" s="574"/>
      <c r="G392" s="575"/>
      <c r="H392" s="576"/>
      <c r="I392" s="579"/>
      <c r="J392" s="580"/>
    </row>
    <row r="393" spans="1:10" x14ac:dyDescent="0.25">
      <c r="A393" s="449" t="s">
        <v>160</v>
      </c>
      <c r="B393" s="450"/>
      <c r="C393" s="450"/>
      <c r="D393" s="451"/>
      <c r="E393" s="585"/>
      <c r="F393" s="586"/>
      <c r="G393" s="585"/>
      <c r="H393" s="586"/>
      <c r="I393" s="587"/>
      <c r="J393" s="588"/>
    </row>
    <row r="394" spans="1:10" x14ac:dyDescent="0.25">
      <c r="A394" s="454" t="s">
        <v>161</v>
      </c>
      <c r="B394" s="455"/>
      <c r="C394" s="455"/>
      <c r="D394" s="456"/>
      <c r="E394" s="573"/>
      <c r="F394" s="574"/>
      <c r="G394" s="575"/>
      <c r="H394" s="576"/>
      <c r="I394" s="579"/>
      <c r="J394" s="580"/>
    </row>
    <row r="395" spans="1:10" x14ac:dyDescent="0.25">
      <c r="A395" s="449" t="s">
        <v>162</v>
      </c>
      <c r="B395" s="450"/>
      <c r="C395" s="450"/>
      <c r="D395" s="451"/>
      <c r="E395" s="585"/>
      <c r="F395" s="586"/>
      <c r="G395" s="585"/>
      <c r="H395" s="586"/>
      <c r="I395" s="587"/>
      <c r="J395" s="588"/>
    </row>
    <row r="396" spans="1:10" x14ac:dyDescent="0.25">
      <c r="A396" s="454" t="s">
        <v>163</v>
      </c>
      <c r="B396" s="455"/>
      <c r="C396" s="455"/>
      <c r="D396" s="456"/>
      <c r="E396" s="573"/>
      <c r="F396" s="574"/>
      <c r="G396" s="575"/>
      <c r="H396" s="576"/>
      <c r="I396" s="579"/>
      <c r="J396" s="580"/>
    </row>
    <row r="397" spans="1:10" x14ac:dyDescent="0.25">
      <c r="A397" s="449" t="s">
        <v>164</v>
      </c>
      <c r="B397" s="450"/>
      <c r="C397" s="450"/>
      <c r="D397" s="451"/>
      <c r="E397" s="581"/>
      <c r="F397" s="582"/>
      <c r="G397" s="581"/>
      <c r="H397" s="582"/>
      <c r="I397" s="583"/>
      <c r="J397" s="584"/>
    </row>
    <row r="398" spans="1:10" x14ac:dyDescent="0.25">
      <c r="A398" s="437"/>
      <c r="B398" s="438"/>
      <c r="C398" s="438"/>
      <c r="D398" s="439"/>
      <c r="E398" s="573"/>
      <c r="F398" s="574"/>
      <c r="G398" s="575"/>
      <c r="H398" s="576"/>
      <c r="I398" s="575"/>
      <c r="J398" s="576"/>
    </row>
    <row r="399" spans="1:10" x14ac:dyDescent="0.25">
      <c r="A399" s="437"/>
      <c r="B399" s="438"/>
      <c r="C399" s="438"/>
      <c r="D399" s="439"/>
      <c r="E399" s="573"/>
      <c r="F399" s="574"/>
      <c r="G399" s="575"/>
      <c r="H399" s="576"/>
      <c r="I399" s="575"/>
      <c r="J399" s="576"/>
    </row>
    <row r="400" spans="1:10" x14ac:dyDescent="0.25">
      <c r="A400" s="437"/>
      <c r="B400" s="438"/>
      <c r="C400" s="438"/>
      <c r="D400" s="439"/>
      <c r="E400" s="573"/>
      <c r="F400" s="574"/>
      <c r="G400" s="575"/>
      <c r="H400" s="576"/>
      <c r="I400" s="575"/>
      <c r="J400" s="576"/>
    </row>
    <row r="401" spans="1:10" x14ac:dyDescent="0.25">
      <c r="A401" s="442" t="s">
        <v>165</v>
      </c>
      <c r="B401" s="443"/>
      <c r="C401" s="443"/>
      <c r="D401" s="444"/>
      <c r="E401" s="577">
        <f>SUM(E391:E400)</f>
        <v>0</v>
      </c>
      <c r="F401" s="578"/>
      <c r="G401" s="577">
        <f>SUM(G391:G400)</f>
        <v>0</v>
      </c>
      <c r="H401" s="578"/>
      <c r="I401" s="577">
        <f>SUM(I391:I400)</f>
        <v>0</v>
      </c>
      <c r="J401" s="578"/>
    </row>
    <row r="402" spans="1:10" ht="13.2" customHeight="1" x14ac:dyDescent="0.25">
      <c r="A402" s="446" t="s">
        <v>166</v>
      </c>
      <c r="B402" s="567"/>
      <c r="C402" s="567"/>
      <c r="D402" s="567"/>
      <c r="E402" s="567"/>
      <c r="F402" s="567"/>
      <c r="G402" s="567"/>
      <c r="H402" s="567"/>
      <c r="I402" s="567"/>
      <c r="J402" s="568"/>
    </row>
    <row r="403" spans="1:10" ht="13.2" customHeight="1" x14ac:dyDescent="0.25">
      <c r="A403" s="423" t="s">
        <v>167</v>
      </c>
      <c r="B403" s="569"/>
      <c r="C403" s="569"/>
      <c r="D403" s="569"/>
      <c r="E403" s="569"/>
      <c r="F403" s="569"/>
      <c r="G403" s="569"/>
      <c r="H403" s="569"/>
      <c r="I403" s="569"/>
      <c r="J403" s="570"/>
    </row>
    <row r="404" spans="1:10" ht="13.2" customHeight="1" x14ac:dyDescent="0.25">
      <c r="A404" s="423" t="s">
        <v>168</v>
      </c>
      <c r="B404" s="569"/>
      <c r="C404" s="569"/>
      <c r="D404" s="569"/>
      <c r="E404" s="569"/>
      <c r="F404" s="569"/>
      <c r="G404" s="569"/>
      <c r="H404" s="569"/>
      <c r="I404" s="569"/>
      <c r="J404" s="570"/>
    </row>
    <row r="405" spans="1:10" ht="13.2" customHeight="1" x14ac:dyDescent="0.25">
      <c r="A405" s="426" t="s">
        <v>169</v>
      </c>
      <c r="B405" s="571"/>
      <c r="C405" s="571"/>
      <c r="D405" s="571"/>
      <c r="E405" s="571"/>
      <c r="F405" s="571"/>
      <c r="G405" s="571"/>
      <c r="H405" s="571"/>
      <c r="I405" s="571"/>
      <c r="J405" s="572"/>
    </row>
    <row r="406" spans="1:10" x14ac:dyDescent="0.25">
      <c r="A406" s="552"/>
      <c r="B406" s="553"/>
      <c r="C406" s="553"/>
      <c r="D406" s="553"/>
      <c r="E406" s="553"/>
      <c r="F406" s="553"/>
      <c r="G406" s="553"/>
      <c r="H406" s="553"/>
      <c r="I406" s="553"/>
      <c r="J406" s="554"/>
    </row>
    <row r="407" spans="1:10" x14ac:dyDescent="0.25">
      <c r="A407" s="555"/>
      <c r="B407" s="556"/>
      <c r="C407" s="556"/>
      <c r="D407" s="556"/>
      <c r="E407" s="556"/>
      <c r="F407" s="556"/>
      <c r="G407" s="556"/>
      <c r="H407" s="556"/>
      <c r="I407" s="556"/>
      <c r="J407" s="557"/>
    </row>
    <row r="408" spans="1:10" x14ac:dyDescent="0.25">
      <c r="A408" s="555"/>
      <c r="B408" s="556"/>
      <c r="C408" s="556"/>
      <c r="D408" s="556"/>
      <c r="E408" s="556"/>
      <c r="F408" s="556"/>
      <c r="G408" s="556"/>
      <c r="H408" s="556"/>
      <c r="I408" s="556"/>
      <c r="J408" s="557"/>
    </row>
    <row r="409" spans="1:10" x14ac:dyDescent="0.25">
      <c r="A409" s="555"/>
      <c r="B409" s="556"/>
      <c r="C409" s="556"/>
      <c r="D409" s="556"/>
      <c r="E409" s="556"/>
      <c r="F409" s="556"/>
      <c r="G409" s="556"/>
      <c r="H409" s="556"/>
      <c r="I409" s="556"/>
      <c r="J409" s="557"/>
    </row>
    <row r="410" spans="1:10" x14ac:dyDescent="0.25">
      <c r="A410" s="555"/>
      <c r="B410" s="556"/>
      <c r="C410" s="556"/>
      <c r="D410" s="556"/>
      <c r="E410" s="556"/>
      <c r="F410" s="556"/>
      <c r="G410" s="556"/>
      <c r="H410" s="556"/>
      <c r="I410" s="556"/>
      <c r="J410" s="557"/>
    </row>
    <row r="411" spans="1:10" x14ac:dyDescent="0.25">
      <c r="A411" s="555"/>
      <c r="B411" s="556"/>
      <c r="C411" s="556"/>
      <c r="D411" s="556"/>
      <c r="E411" s="556"/>
      <c r="F411" s="556"/>
      <c r="G411" s="556"/>
      <c r="H411" s="556"/>
      <c r="I411" s="556"/>
      <c r="J411" s="557"/>
    </row>
    <row r="412" spans="1:10" x14ac:dyDescent="0.25">
      <c r="A412" s="555"/>
      <c r="B412" s="556"/>
      <c r="C412" s="556"/>
      <c r="D412" s="556"/>
      <c r="E412" s="556"/>
      <c r="F412" s="556"/>
      <c r="G412" s="556"/>
      <c r="H412" s="556"/>
      <c r="I412" s="556"/>
      <c r="J412" s="557"/>
    </row>
    <row r="413" spans="1:10" x14ac:dyDescent="0.25">
      <c r="A413" s="555"/>
      <c r="B413" s="556"/>
      <c r="C413" s="556"/>
      <c r="D413" s="556"/>
      <c r="E413" s="556"/>
      <c r="F413" s="556"/>
      <c r="G413" s="556"/>
      <c r="H413" s="556"/>
      <c r="I413" s="556"/>
      <c r="J413" s="557"/>
    </row>
    <row r="414" spans="1:10" x14ac:dyDescent="0.25">
      <c r="A414" s="555"/>
      <c r="B414" s="556"/>
      <c r="C414" s="556"/>
      <c r="D414" s="556"/>
      <c r="E414" s="556"/>
      <c r="F414" s="556"/>
      <c r="G414" s="556"/>
      <c r="H414" s="556"/>
      <c r="I414" s="556"/>
      <c r="J414" s="557"/>
    </row>
    <row r="415" spans="1:10" x14ac:dyDescent="0.25">
      <c r="A415" s="555"/>
      <c r="B415" s="556"/>
      <c r="C415" s="556"/>
      <c r="D415" s="556"/>
      <c r="E415" s="556"/>
      <c r="F415" s="556"/>
      <c r="G415" s="556"/>
      <c r="H415" s="556"/>
      <c r="I415" s="556"/>
      <c r="J415" s="557"/>
    </row>
    <row r="416" spans="1:10" x14ac:dyDescent="0.25">
      <c r="A416" s="555"/>
      <c r="B416" s="556"/>
      <c r="C416" s="556"/>
      <c r="D416" s="556"/>
      <c r="E416" s="556"/>
      <c r="F416" s="556"/>
      <c r="G416" s="556"/>
      <c r="H416" s="556"/>
      <c r="I416" s="556"/>
      <c r="J416" s="557"/>
    </row>
    <row r="417" spans="1:10" x14ac:dyDescent="0.25">
      <c r="A417" s="555"/>
      <c r="B417" s="556"/>
      <c r="C417" s="556"/>
      <c r="D417" s="556"/>
      <c r="E417" s="556"/>
      <c r="F417" s="556"/>
      <c r="G417" s="556"/>
      <c r="H417" s="556"/>
      <c r="I417" s="556"/>
      <c r="J417" s="557"/>
    </row>
    <row r="418" spans="1:10" x14ac:dyDescent="0.25">
      <c r="A418" s="555"/>
      <c r="B418" s="556"/>
      <c r="C418" s="556"/>
      <c r="D418" s="556"/>
      <c r="E418" s="556"/>
      <c r="F418" s="556"/>
      <c r="G418" s="556"/>
      <c r="H418" s="556"/>
      <c r="I418" s="556"/>
      <c r="J418" s="557"/>
    </row>
    <row r="419" spans="1:10" x14ac:dyDescent="0.25">
      <c r="A419" s="555"/>
      <c r="B419" s="556"/>
      <c r="C419" s="556"/>
      <c r="D419" s="556"/>
      <c r="E419" s="556"/>
      <c r="F419" s="556"/>
      <c r="G419" s="556"/>
      <c r="H419" s="556"/>
      <c r="I419" s="556"/>
      <c r="J419" s="557"/>
    </row>
    <row r="420" spans="1:10" x14ac:dyDescent="0.25">
      <c r="A420" s="555"/>
      <c r="B420" s="556"/>
      <c r="C420" s="556"/>
      <c r="D420" s="556"/>
      <c r="E420" s="556"/>
      <c r="F420" s="556"/>
      <c r="G420" s="556"/>
      <c r="H420" s="556"/>
      <c r="I420" s="556"/>
      <c r="J420" s="557"/>
    </row>
    <row r="421" spans="1:10" x14ac:dyDescent="0.25">
      <c r="A421" s="555"/>
      <c r="B421" s="556"/>
      <c r="C421" s="556"/>
      <c r="D421" s="556"/>
      <c r="E421" s="556"/>
      <c r="F421" s="556"/>
      <c r="G421" s="556"/>
      <c r="H421" s="556"/>
      <c r="I421" s="556"/>
      <c r="J421" s="557"/>
    </row>
    <row r="422" spans="1:10" x14ac:dyDescent="0.25">
      <c r="A422" s="555"/>
      <c r="B422" s="556"/>
      <c r="C422" s="556"/>
      <c r="D422" s="556"/>
      <c r="E422" s="556"/>
      <c r="F422" s="556"/>
      <c r="G422" s="556"/>
      <c r="H422" s="556"/>
      <c r="I422" s="556"/>
      <c r="J422" s="557"/>
    </row>
    <row r="423" spans="1:10" x14ac:dyDescent="0.25">
      <c r="A423" s="555"/>
      <c r="B423" s="556"/>
      <c r="C423" s="556"/>
      <c r="D423" s="556"/>
      <c r="E423" s="556"/>
      <c r="F423" s="556"/>
      <c r="G423" s="556"/>
      <c r="H423" s="556"/>
      <c r="I423" s="556"/>
      <c r="J423" s="557"/>
    </row>
    <row r="424" spans="1:10" x14ac:dyDescent="0.25">
      <c r="A424" s="555"/>
      <c r="B424" s="556"/>
      <c r="C424" s="556"/>
      <c r="D424" s="556"/>
      <c r="E424" s="556"/>
      <c r="F424" s="556"/>
      <c r="G424" s="556"/>
      <c r="H424" s="556"/>
      <c r="I424" s="556"/>
      <c r="J424" s="557"/>
    </row>
    <row r="425" spans="1:10" x14ac:dyDescent="0.25">
      <c r="A425" s="555"/>
      <c r="B425" s="556"/>
      <c r="C425" s="556"/>
      <c r="D425" s="556"/>
      <c r="E425" s="556"/>
      <c r="F425" s="556"/>
      <c r="G425" s="556"/>
      <c r="H425" s="556"/>
      <c r="I425" s="556"/>
      <c r="J425" s="557"/>
    </row>
    <row r="426" spans="1:10" x14ac:dyDescent="0.25">
      <c r="A426" s="555"/>
      <c r="B426" s="556"/>
      <c r="C426" s="556"/>
      <c r="D426" s="556"/>
      <c r="E426" s="556"/>
      <c r="F426" s="556"/>
      <c r="G426" s="556"/>
      <c r="H426" s="556"/>
      <c r="I426" s="556"/>
      <c r="J426" s="557"/>
    </row>
    <row r="427" spans="1:10" x14ac:dyDescent="0.25">
      <c r="A427" s="555"/>
      <c r="B427" s="556"/>
      <c r="C427" s="556"/>
      <c r="D427" s="556"/>
      <c r="E427" s="556"/>
      <c r="F427" s="556"/>
      <c r="G427" s="556"/>
      <c r="H427" s="556"/>
      <c r="I427" s="556"/>
      <c r="J427" s="557"/>
    </row>
    <row r="428" spans="1:10" x14ac:dyDescent="0.25">
      <c r="A428" s="555"/>
      <c r="B428" s="556"/>
      <c r="C428" s="556"/>
      <c r="D428" s="556"/>
      <c r="E428" s="556"/>
      <c r="F428" s="556"/>
      <c r="G428" s="556"/>
      <c r="H428" s="556"/>
      <c r="I428" s="556"/>
      <c r="J428" s="557"/>
    </row>
    <row r="429" spans="1:10" x14ac:dyDescent="0.25">
      <c r="A429" s="555"/>
      <c r="B429" s="556"/>
      <c r="C429" s="556"/>
      <c r="D429" s="556"/>
      <c r="E429" s="556"/>
      <c r="F429" s="556"/>
      <c r="G429" s="556"/>
      <c r="H429" s="556"/>
      <c r="I429" s="556"/>
      <c r="J429" s="557"/>
    </row>
    <row r="430" spans="1:10" x14ac:dyDescent="0.25">
      <c r="A430" s="555"/>
      <c r="B430" s="556"/>
      <c r="C430" s="556"/>
      <c r="D430" s="556"/>
      <c r="E430" s="556"/>
      <c r="F430" s="556"/>
      <c r="G430" s="556"/>
      <c r="H430" s="556"/>
      <c r="I430" s="556"/>
      <c r="J430" s="557"/>
    </row>
    <row r="431" spans="1:10" x14ac:dyDescent="0.25">
      <c r="A431" s="555"/>
      <c r="B431" s="556"/>
      <c r="C431" s="556"/>
      <c r="D431" s="556"/>
      <c r="E431" s="556"/>
      <c r="F431" s="556"/>
      <c r="G431" s="556"/>
      <c r="H431" s="556"/>
      <c r="I431" s="556"/>
      <c r="J431" s="557"/>
    </row>
    <row r="432" spans="1:10" x14ac:dyDescent="0.25">
      <c r="A432" s="555"/>
      <c r="B432" s="556"/>
      <c r="C432" s="556"/>
      <c r="D432" s="556"/>
      <c r="E432" s="556"/>
      <c r="F432" s="556"/>
      <c r="G432" s="556"/>
      <c r="H432" s="556"/>
      <c r="I432" s="556"/>
      <c r="J432" s="557"/>
    </row>
    <row r="433" spans="1:10" x14ac:dyDescent="0.25">
      <c r="A433" s="555"/>
      <c r="B433" s="556"/>
      <c r="C433" s="556"/>
      <c r="D433" s="556"/>
      <c r="E433" s="556"/>
      <c r="F433" s="556"/>
      <c r="G433" s="556"/>
      <c r="H433" s="556"/>
      <c r="I433" s="556"/>
      <c r="J433" s="557"/>
    </row>
    <row r="434" spans="1:10" x14ac:dyDescent="0.25">
      <c r="A434" s="555"/>
      <c r="B434" s="556"/>
      <c r="C434" s="556"/>
      <c r="D434" s="556"/>
      <c r="E434" s="556"/>
      <c r="F434" s="556"/>
      <c r="G434" s="556"/>
      <c r="H434" s="556"/>
      <c r="I434" s="556"/>
      <c r="J434" s="557"/>
    </row>
    <row r="435" spans="1:10" x14ac:dyDescent="0.25">
      <c r="A435" s="555"/>
      <c r="B435" s="556"/>
      <c r="C435" s="556"/>
      <c r="D435" s="556"/>
      <c r="E435" s="556"/>
      <c r="F435" s="556"/>
      <c r="G435" s="556"/>
      <c r="H435" s="556"/>
      <c r="I435" s="556"/>
      <c r="J435" s="557"/>
    </row>
    <row r="436" spans="1:10" x14ac:dyDescent="0.25">
      <c r="A436" s="558"/>
      <c r="B436" s="559"/>
      <c r="C436" s="559"/>
      <c r="D436" s="559"/>
      <c r="E436" s="559"/>
      <c r="F436" s="559"/>
      <c r="G436" s="559"/>
      <c r="H436" s="559"/>
      <c r="I436" s="559"/>
      <c r="J436" s="560"/>
    </row>
    <row r="437" spans="1:10" x14ac:dyDescent="0.25">
      <c r="A437" s="172"/>
      <c r="B437" s="172"/>
      <c r="C437" s="172"/>
      <c r="D437" s="172"/>
      <c r="E437" s="172"/>
      <c r="F437" s="172"/>
      <c r="G437" s="172"/>
      <c r="H437" s="172"/>
      <c r="I437" s="172"/>
      <c r="J437" s="172"/>
    </row>
    <row r="438" spans="1:10" ht="15.6" x14ac:dyDescent="0.3">
      <c r="A438" s="372" t="s">
        <v>76</v>
      </c>
      <c r="B438" s="373"/>
      <c r="C438" s="373"/>
      <c r="D438" s="373"/>
      <c r="E438" s="373"/>
      <c r="F438" s="373"/>
      <c r="G438" s="373"/>
      <c r="H438" s="370" t="str">
        <f>'CONTACT INFORMATION'!$A$24</f>
        <v>Ventura</v>
      </c>
      <c r="I438" s="370"/>
      <c r="J438" s="371"/>
    </row>
    <row r="439" spans="1:10" ht="15.6" x14ac:dyDescent="0.3">
      <c r="A439" s="51"/>
      <c r="B439" s="51"/>
      <c r="C439" s="51"/>
      <c r="D439" s="51"/>
      <c r="E439" s="51"/>
      <c r="F439" s="51"/>
      <c r="G439" s="51"/>
      <c r="H439" s="51"/>
      <c r="I439" s="51"/>
      <c r="J439" s="51"/>
    </row>
    <row r="440" spans="1:10" ht="13.8" x14ac:dyDescent="0.25">
      <c r="A440" s="460" t="s">
        <v>210</v>
      </c>
      <c r="B440" s="461"/>
      <c r="C440" s="461"/>
      <c r="D440" s="461"/>
      <c r="E440" s="461"/>
      <c r="F440" s="461"/>
      <c r="G440" s="461"/>
      <c r="H440" s="461"/>
      <c r="I440" s="461"/>
      <c r="J440" s="462"/>
    </row>
    <row r="441" spans="1:10" ht="13.2" customHeight="1" x14ac:dyDescent="0.25">
      <c r="A441" s="463" t="s">
        <v>151</v>
      </c>
      <c r="B441" s="528"/>
      <c r="C441" s="528"/>
      <c r="D441" s="592"/>
      <c r="E441" s="466"/>
      <c r="F441" s="467"/>
      <c r="G441" s="467"/>
      <c r="H441" s="467"/>
      <c r="I441" s="467"/>
      <c r="J441" s="468"/>
    </row>
    <row r="442" spans="1:10" ht="13.2" customHeight="1" x14ac:dyDescent="0.25">
      <c r="A442" s="472" t="s">
        <v>181</v>
      </c>
      <c r="B442" s="473"/>
      <c r="C442" s="473"/>
      <c r="D442" s="474"/>
      <c r="E442" s="469"/>
      <c r="F442" s="470"/>
      <c r="G442" s="470"/>
      <c r="H442" s="470"/>
      <c r="I442" s="470"/>
      <c r="J442" s="471"/>
    </row>
    <row r="443" spans="1:10" x14ac:dyDescent="0.25">
      <c r="A443" s="475" t="s">
        <v>182</v>
      </c>
      <c r="B443" s="476"/>
      <c r="C443" s="476"/>
      <c r="D443" s="477"/>
      <c r="E443" s="478"/>
      <c r="F443" s="479"/>
      <c r="G443" s="479"/>
      <c r="H443" s="479"/>
      <c r="I443" s="479"/>
      <c r="J443" s="480"/>
    </row>
    <row r="444" spans="1:10" ht="13.2" customHeight="1" x14ac:dyDescent="0.25">
      <c r="A444" s="52"/>
      <c r="B444" s="53"/>
      <c r="C444" s="53"/>
      <c r="D444" s="53"/>
      <c r="E444" s="589" t="s">
        <v>155</v>
      </c>
      <c r="F444" s="589"/>
      <c r="G444" s="589" t="s">
        <v>156</v>
      </c>
      <c r="H444" s="589"/>
      <c r="I444" s="590" t="s">
        <v>157</v>
      </c>
      <c r="J444" s="591"/>
    </row>
    <row r="445" spans="1:10" x14ac:dyDescent="0.25">
      <c r="A445" s="449" t="s">
        <v>158</v>
      </c>
      <c r="B445" s="450"/>
      <c r="C445" s="450"/>
      <c r="D445" s="451"/>
      <c r="E445" s="585"/>
      <c r="F445" s="586"/>
      <c r="G445" s="585"/>
      <c r="H445" s="586"/>
      <c r="I445" s="587"/>
      <c r="J445" s="588"/>
    </row>
    <row r="446" spans="1:10" x14ac:dyDescent="0.25">
      <c r="A446" s="454" t="s">
        <v>159</v>
      </c>
      <c r="B446" s="455"/>
      <c r="C446" s="455"/>
      <c r="D446" s="456"/>
      <c r="E446" s="573"/>
      <c r="F446" s="574"/>
      <c r="G446" s="575"/>
      <c r="H446" s="576"/>
      <c r="I446" s="579"/>
      <c r="J446" s="580"/>
    </row>
    <row r="447" spans="1:10" x14ac:dyDescent="0.25">
      <c r="A447" s="449" t="s">
        <v>160</v>
      </c>
      <c r="B447" s="450"/>
      <c r="C447" s="450"/>
      <c r="D447" s="451"/>
      <c r="E447" s="585"/>
      <c r="F447" s="586"/>
      <c r="G447" s="585"/>
      <c r="H447" s="586"/>
      <c r="I447" s="587"/>
      <c r="J447" s="588"/>
    </row>
    <row r="448" spans="1:10" x14ac:dyDescent="0.25">
      <c r="A448" s="454" t="s">
        <v>161</v>
      </c>
      <c r="B448" s="455"/>
      <c r="C448" s="455"/>
      <c r="D448" s="456"/>
      <c r="E448" s="573"/>
      <c r="F448" s="574"/>
      <c r="G448" s="575"/>
      <c r="H448" s="576"/>
      <c r="I448" s="579"/>
      <c r="J448" s="580"/>
    </row>
    <row r="449" spans="1:10" x14ac:dyDescent="0.25">
      <c r="A449" s="449" t="s">
        <v>162</v>
      </c>
      <c r="B449" s="450"/>
      <c r="C449" s="450"/>
      <c r="D449" s="451"/>
      <c r="E449" s="585"/>
      <c r="F449" s="586"/>
      <c r="G449" s="585"/>
      <c r="H449" s="586"/>
      <c r="I449" s="587"/>
      <c r="J449" s="588"/>
    </row>
    <row r="450" spans="1:10" x14ac:dyDescent="0.25">
      <c r="A450" s="454" t="s">
        <v>163</v>
      </c>
      <c r="B450" s="455"/>
      <c r="C450" s="455"/>
      <c r="D450" s="456"/>
      <c r="E450" s="573"/>
      <c r="F450" s="574"/>
      <c r="G450" s="575"/>
      <c r="H450" s="576"/>
      <c r="I450" s="579"/>
      <c r="J450" s="580"/>
    </row>
    <row r="451" spans="1:10" x14ac:dyDescent="0.25">
      <c r="A451" s="449" t="s">
        <v>164</v>
      </c>
      <c r="B451" s="450"/>
      <c r="C451" s="450"/>
      <c r="D451" s="451"/>
      <c r="E451" s="581"/>
      <c r="F451" s="582"/>
      <c r="G451" s="581"/>
      <c r="H451" s="582"/>
      <c r="I451" s="583"/>
      <c r="J451" s="584"/>
    </row>
    <row r="452" spans="1:10" x14ac:dyDescent="0.25">
      <c r="A452" s="437"/>
      <c r="B452" s="438"/>
      <c r="C452" s="438"/>
      <c r="D452" s="439"/>
      <c r="E452" s="573"/>
      <c r="F452" s="574"/>
      <c r="G452" s="575"/>
      <c r="H452" s="576"/>
      <c r="I452" s="575"/>
      <c r="J452" s="576"/>
    </row>
    <row r="453" spans="1:10" x14ac:dyDescent="0.25">
      <c r="A453" s="437"/>
      <c r="B453" s="438"/>
      <c r="C453" s="438"/>
      <c r="D453" s="439"/>
      <c r="E453" s="573"/>
      <c r="F453" s="574"/>
      <c r="G453" s="575"/>
      <c r="H453" s="576"/>
      <c r="I453" s="575"/>
      <c r="J453" s="576"/>
    </row>
    <row r="454" spans="1:10" x14ac:dyDescent="0.25">
      <c r="A454" s="437"/>
      <c r="B454" s="438"/>
      <c r="C454" s="438"/>
      <c r="D454" s="439"/>
      <c r="E454" s="573"/>
      <c r="F454" s="574"/>
      <c r="G454" s="575"/>
      <c r="H454" s="576"/>
      <c r="I454" s="575"/>
      <c r="J454" s="576"/>
    </row>
    <row r="455" spans="1:10" x14ac:dyDescent="0.25">
      <c r="A455" s="442" t="s">
        <v>165</v>
      </c>
      <c r="B455" s="443"/>
      <c r="C455" s="443"/>
      <c r="D455" s="444"/>
      <c r="E455" s="577">
        <f>SUM(E445:E454)</f>
        <v>0</v>
      </c>
      <c r="F455" s="578"/>
      <c r="G455" s="577">
        <f>SUM(G445:G454)</f>
        <v>0</v>
      </c>
      <c r="H455" s="578"/>
      <c r="I455" s="577">
        <f>SUM(I445:I454)</f>
        <v>0</v>
      </c>
      <c r="J455" s="578"/>
    </row>
    <row r="456" spans="1:10" ht="13.2" customHeight="1" x14ac:dyDescent="0.25">
      <c r="A456" s="446" t="s">
        <v>166</v>
      </c>
      <c r="B456" s="567"/>
      <c r="C456" s="567"/>
      <c r="D456" s="567"/>
      <c r="E456" s="567"/>
      <c r="F456" s="567"/>
      <c r="G456" s="567"/>
      <c r="H456" s="567"/>
      <c r="I456" s="567"/>
      <c r="J456" s="568"/>
    </row>
    <row r="457" spans="1:10" ht="13.2" customHeight="1" x14ac:dyDescent="0.25">
      <c r="A457" s="423" t="s">
        <v>167</v>
      </c>
      <c r="B457" s="569"/>
      <c r="C457" s="569"/>
      <c r="D457" s="569"/>
      <c r="E457" s="569"/>
      <c r="F457" s="569"/>
      <c r="G457" s="569"/>
      <c r="H457" s="569"/>
      <c r="I457" s="569"/>
      <c r="J457" s="570"/>
    </row>
    <row r="458" spans="1:10" ht="13.2" customHeight="1" x14ac:dyDescent="0.25">
      <c r="A458" s="423" t="s">
        <v>168</v>
      </c>
      <c r="B458" s="569"/>
      <c r="C458" s="569"/>
      <c r="D458" s="569"/>
      <c r="E458" s="569"/>
      <c r="F458" s="569"/>
      <c r="G458" s="569"/>
      <c r="H458" s="569"/>
      <c r="I458" s="569"/>
      <c r="J458" s="570"/>
    </row>
    <row r="459" spans="1:10" ht="13.2" customHeight="1" x14ac:dyDescent="0.25">
      <c r="A459" s="426" t="s">
        <v>169</v>
      </c>
      <c r="B459" s="571"/>
      <c r="C459" s="571"/>
      <c r="D459" s="571"/>
      <c r="E459" s="571"/>
      <c r="F459" s="571"/>
      <c r="G459" s="571"/>
      <c r="H459" s="571"/>
      <c r="I459" s="571"/>
      <c r="J459" s="572"/>
    </row>
    <row r="460" spans="1:10" x14ac:dyDescent="0.25">
      <c r="A460" s="552"/>
      <c r="B460" s="553"/>
      <c r="C460" s="553"/>
      <c r="D460" s="553"/>
      <c r="E460" s="553"/>
      <c r="F460" s="553"/>
      <c r="G460" s="553"/>
      <c r="H460" s="553"/>
      <c r="I460" s="553"/>
      <c r="J460" s="554"/>
    </row>
    <row r="461" spans="1:10" x14ac:dyDescent="0.25">
      <c r="A461" s="555"/>
      <c r="B461" s="556"/>
      <c r="C461" s="556"/>
      <c r="D461" s="556"/>
      <c r="E461" s="556"/>
      <c r="F461" s="556"/>
      <c r="G461" s="556"/>
      <c r="H461" s="556"/>
      <c r="I461" s="556"/>
      <c r="J461" s="557"/>
    </row>
    <row r="462" spans="1:10" x14ac:dyDescent="0.25">
      <c r="A462" s="555"/>
      <c r="B462" s="556"/>
      <c r="C462" s="556"/>
      <c r="D462" s="556"/>
      <c r="E462" s="556"/>
      <c r="F462" s="556"/>
      <c r="G462" s="556"/>
      <c r="H462" s="556"/>
      <c r="I462" s="556"/>
      <c r="J462" s="557"/>
    </row>
    <row r="463" spans="1:10" x14ac:dyDescent="0.25">
      <c r="A463" s="555"/>
      <c r="B463" s="556"/>
      <c r="C463" s="556"/>
      <c r="D463" s="556"/>
      <c r="E463" s="556"/>
      <c r="F463" s="556"/>
      <c r="G463" s="556"/>
      <c r="H463" s="556"/>
      <c r="I463" s="556"/>
      <c r="J463" s="557"/>
    </row>
    <row r="464" spans="1:10" x14ac:dyDescent="0.25">
      <c r="A464" s="555"/>
      <c r="B464" s="556"/>
      <c r="C464" s="556"/>
      <c r="D464" s="556"/>
      <c r="E464" s="556"/>
      <c r="F464" s="556"/>
      <c r="G464" s="556"/>
      <c r="H464" s="556"/>
      <c r="I464" s="556"/>
      <c r="J464" s="557"/>
    </row>
    <row r="465" spans="1:10" x14ac:dyDescent="0.25">
      <c r="A465" s="555"/>
      <c r="B465" s="556"/>
      <c r="C465" s="556"/>
      <c r="D465" s="556"/>
      <c r="E465" s="556"/>
      <c r="F465" s="556"/>
      <c r="G465" s="556"/>
      <c r="H465" s="556"/>
      <c r="I465" s="556"/>
      <c r="J465" s="557"/>
    </row>
    <row r="466" spans="1:10" x14ac:dyDescent="0.25">
      <c r="A466" s="555"/>
      <c r="B466" s="556"/>
      <c r="C466" s="556"/>
      <c r="D466" s="556"/>
      <c r="E466" s="556"/>
      <c r="F466" s="556"/>
      <c r="G466" s="556"/>
      <c r="H466" s="556"/>
      <c r="I466" s="556"/>
      <c r="J466" s="557"/>
    </row>
    <row r="467" spans="1:10" x14ac:dyDescent="0.25">
      <c r="A467" s="555"/>
      <c r="B467" s="556"/>
      <c r="C467" s="556"/>
      <c r="D467" s="556"/>
      <c r="E467" s="556"/>
      <c r="F467" s="556"/>
      <c r="G467" s="556"/>
      <c r="H467" s="556"/>
      <c r="I467" s="556"/>
      <c r="J467" s="557"/>
    </row>
    <row r="468" spans="1:10" x14ac:dyDescent="0.25">
      <c r="A468" s="555"/>
      <c r="B468" s="556"/>
      <c r="C468" s="556"/>
      <c r="D468" s="556"/>
      <c r="E468" s="556"/>
      <c r="F468" s="556"/>
      <c r="G468" s="556"/>
      <c r="H468" s="556"/>
      <c r="I468" s="556"/>
      <c r="J468" s="557"/>
    </row>
    <row r="469" spans="1:10" x14ac:dyDescent="0.25">
      <c r="A469" s="555"/>
      <c r="B469" s="556"/>
      <c r="C469" s="556"/>
      <c r="D469" s="556"/>
      <c r="E469" s="556"/>
      <c r="F469" s="556"/>
      <c r="G469" s="556"/>
      <c r="H469" s="556"/>
      <c r="I469" s="556"/>
      <c r="J469" s="557"/>
    </row>
    <row r="470" spans="1:10" x14ac:dyDescent="0.25">
      <c r="A470" s="555"/>
      <c r="B470" s="556"/>
      <c r="C470" s="556"/>
      <c r="D470" s="556"/>
      <c r="E470" s="556"/>
      <c r="F470" s="556"/>
      <c r="G470" s="556"/>
      <c r="H470" s="556"/>
      <c r="I470" s="556"/>
      <c r="J470" s="557"/>
    </row>
    <row r="471" spans="1:10" x14ac:dyDescent="0.25">
      <c r="A471" s="555"/>
      <c r="B471" s="556"/>
      <c r="C471" s="556"/>
      <c r="D471" s="556"/>
      <c r="E471" s="556"/>
      <c r="F471" s="556"/>
      <c r="G471" s="556"/>
      <c r="H471" s="556"/>
      <c r="I471" s="556"/>
      <c r="J471" s="557"/>
    </row>
    <row r="472" spans="1:10" x14ac:dyDescent="0.25">
      <c r="A472" s="555"/>
      <c r="B472" s="556"/>
      <c r="C472" s="556"/>
      <c r="D472" s="556"/>
      <c r="E472" s="556"/>
      <c r="F472" s="556"/>
      <c r="G472" s="556"/>
      <c r="H472" s="556"/>
      <c r="I472" s="556"/>
      <c r="J472" s="557"/>
    </row>
    <row r="473" spans="1:10" x14ac:dyDescent="0.25">
      <c r="A473" s="555"/>
      <c r="B473" s="556"/>
      <c r="C473" s="556"/>
      <c r="D473" s="556"/>
      <c r="E473" s="556"/>
      <c r="F473" s="556"/>
      <c r="G473" s="556"/>
      <c r="H473" s="556"/>
      <c r="I473" s="556"/>
      <c r="J473" s="557"/>
    </row>
    <row r="474" spans="1:10" x14ac:dyDescent="0.25">
      <c r="A474" s="555"/>
      <c r="B474" s="556"/>
      <c r="C474" s="556"/>
      <c r="D474" s="556"/>
      <c r="E474" s="556"/>
      <c r="F474" s="556"/>
      <c r="G474" s="556"/>
      <c r="H474" s="556"/>
      <c r="I474" s="556"/>
      <c r="J474" s="557"/>
    </row>
    <row r="475" spans="1:10" x14ac:dyDescent="0.25">
      <c r="A475" s="555"/>
      <c r="B475" s="556"/>
      <c r="C475" s="556"/>
      <c r="D475" s="556"/>
      <c r="E475" s="556"/>
      <c r="F475" s="556"/>
      <c r="G475" s="556"/>
      <c r="H475" s="556"/>
      <c r="I475" s="556"/>
      <c r="J475" s="557"/>
    </row>
    <row r="476" spans="1:10" x14ac:dyDescent="0.25">
      <c r="A476" s="555"/>
      <c r="B476" s="556"/>
      <c r="C476" s="556"/>
      <c r="D476" s="556"/>
      <c r="E476" s="556"/>
      <c r="F476" s="556"/>
      <c r="G476" s="556"/>
      <c r="H476" s="556"/>
      <c r="I476" s="556"/>
      <c r="J476" s="557"/>
    </row>
    <row r="477" spans="1:10" x14ac:dyDescent="0.25">
      <c r="A477" s="555"/>
      <c r="B477" s="556"/>
      <c r="C477" s="556"/>
      <c r="D477" s="556"/>
      <c r="E477" s="556"/>
      <c r="F477" s="556"/>
      <c r="G477" s="556"/>
      <c r="H477" s="556"/>
      <c r="I477" s="556"/>
      <c r="J477" s="557"/>
    </row>
    <row r="478" spans="1:10" x14ac:dyDescent="0.25">
      <c r="A478" s="555"/>
      <c r="B478" s="556"/>
      <c r="C478" s="556"/>
      <c r="D478" s="556"/>
      <c r="E478" s="556"/>
      <c r="F478" s="556"/>
      <c r="G478" s="556"/>
      <c r="H478" s="556"/>
      <c r="I478" s="556"/>
      <c r="J478" s="557"/>
    </row>
    <row r="479" spans="1:10" x14ac:dyDescent="0.25">
      <c r="A479" s="555"/>
      <c r="B479" s="556"/>
      <c r="C479" s="556"/>
      <c r="D479" s="556"/>
      <c r="E479" s="556"/>
      <c r="F479" s="556"/>
      <c r="G479" s="556"/>
      <c r="H479" s="556"/>
      <c r="I479" s="556"/>
      <c r="J479" s="557"/>
    </row>
    <row r="480" spans="1:10" x14ac:dyDescent="0.25">
      <c r="A480" s="555"/>
      <c r="B480" s="556"/>
      <c r="C480" s="556"/>
      <c r="D480" s="556"/>
      <c r="E480" s="556"/>
      <c r="F480" s="556"/>
      <c r="G480" s="556"/>
      <c r="H480" s="556"/>
      <c r="I480" s="556"/>
      <c r="J480" s="557"/>
    </row>
    <row r="481" spans="1:10" x14ac:dyDescent="0.25">
      <c r="A481" s="555"/>
      <c r="B481" s="556"/>
      <c r="C481" s="556"/>
      <c r="D481" s="556"/>
      <c r="E481" s="556"/>
      <c r="F481" s="556"/>
      <c r="G481" s="556"/>
      <c r="H481" s="556"/>
      <c r="I481" s="556"/>
      <c r="J481" s="557"/>
    </row>
    <row r="482" spans="1:10" x14ac:dyDescent="0.25">
      <c r="A482" s="555"/>
      <c r="B482" s="556"/>
      <c r="C482" s="556"/>
      <c r="D482" s="556"/>
      <c r="E482" s="556"/>
      <c r="F482" s="556"/>
      <c r="G482" s="556"/>
      <c r="H482" s="556"/>
      <c r="I482" s="556"/>
      <c r="J482" s="557"/>
    </row>
    <row r="483" spans="1:10" x14ac:dyDescent="0.25">
      <c r="A483" s="555"/>
      <c r="B483" s="556"/>
      <c r="C483" s="556"/>
      <c r="D483" s="556"/>
      <c r="E483" s="556"/>
      <c r="F483" s="556"/>
      <c r="G483" s="556"/>
      <c r="H483" s="556"/>
      <c r="I483" s="556"/>
      <c r="J483" s="557"/>
    </row>
    <row r="484" spans="1:10" x14ac:dyDescent="0.25">
      <c r="A484" s="555"/>
      <c r="B484" s="556"/>
      <c r="C484" s="556"/>
      <c r="D484" s="556"/>
      <c r="E484" s="556"/>
      <c r="F484" s="556"/>
      <c r="G484" s="556"/>
      <c r="H484" s="556"/>
      <c r="I484" s="556"/>
      <c r="J484" s="557"/>
    </row>
    <row r="485" spans="1:10" x14ac:dyDescent="0.25">
      <c r="A485" s="555"/>
      <c r="B485" s="556"/>
      <c r="C485" s="556"/>
      <c r="D485" s="556"/>
      <c r="E485" s="556"/>
      <c r="F485" s="556"/>
      <c r="G485" s="556"/>
      <c r="H485" s="556"/>
      <c r="I485" s="556"/>
      <c r="J485" s="557"/>
    </row>
    <row r="486" spans="1:10" x14ac:dyDescent="0.25">
      <c r="A486" s="555"/>
      <c r="B486" s="556"/>
      <c r="C486" s="556"/>
      <c r="D486" s="556"/>
      <c r="E486" s="556"/>
      <c r="F486" s="556"/>
      <c r="G486" s="556"/>
      <c r="H486" s="556"/>
      <c r="I486" s="556"/>
      <c r="J486" s="557"/>
    </row>
    <row r="487" spans="1:10" x14ac:dyDescent="0.25">
      <c r="A487" s="555"/>
      <c r="B487" s="556"/>
      <c r="C487" s="556"/>
      <c r="D487" s="556"/>
      <c r="E487" s="556"/>
      <c r="F487" s="556"/>
      <c r="G487" s="556"/>
      <c r="H487" s="556"/>
      <c r="I487" s="556"/>
      <c r="J487" s="557"/>
    </row>
    <row r="488" spans="1:10" x14ac:dyDescent="0.25">
      <c r="A488" s="555"/>
      <c r="B488" s="556"/>
      <c r="C488" s="556"/>
      <c r="D488" s="556"/>
      <c r="E488" s="556"/>
      <c r="F488" s="556"/>
      <c r="G488" s="556"/>
      <c r="H488" s="556"/>
      <c r="I488" s="556"/>
      <c r="J488" s="557"/>
    </row>
    <row r="489" spans="1:10" x14ac:dyDescent="0.25">
      <c r="A489" s="555"/>
      <c r="B489" s="556"/>
      <c r="C489" s="556"/>
      <c r="D489" s="556"/>
      <c r="E489" s="556"/>
      <c r="F489" s="556"/>
      <c r="G489" s="556"/>
      <c r="H489" s="556"/>
      <c r="I489" s="556"/>
      <c r="J489" s="557"/>
    </row>
    <row r="490" spans="1:10" x14ac:dyDescent="0.25">
      <c r="A490" s="558"/>
      <c r="B490" s="559"/>
      <c r="C490" s="559"/>
      <c r="D490" s="559"/>
      <c r="E490" s="559"/>
      <c r="F490" s="559"/>
      <c r="G490" s="559"/>
      <c r="H490" s="559"/>
      <c r="I490" s="559"/>
      <c r="J490" s="560"/>
    </row>
    <row r="491" spans="1:10" x14ac:dyDescent="0.25">
      <c r="A491" s="172"/>
      <c r="B491" s="172"/>
      <c r="C491" s="172"/>
      <c r="D491" s="172"/>
      <c r="E491" s="172"/>
      <c r="F491" s="172"/>
      <c r="G491" s="172"/>
      <c r="H491" s="172"/>
      <c r="I491" s="172"/>
      <c r="J491" s="172"/>
    </row>
    <row r="492" spans="1:10" ht="15.6" x14ac:dyDescent="0.3">
      <c r="A492" s="372" t="s">
        <v>76</v>
      </c>
      <c r="B492" s="373"/>
      <c r="C492" s="373"/>
      <c r="D492" s="373"/>
      <c r="E492" s="373"/>
      <c r="F492" s="373"/>
      <c r="G492" s="373"/>
      <c r="H492" s="370" t="str">
        <f>'CONTACT INFORMATION'!$A$24</f>
        <v>Ventura</v>
      </c>
      <c r="I492" s="370"/>
      <c r="J492" s="371"/>
    </row>
    <row r="493" spans="1:10" ht="15.6" x14ac:dyDescent="0.3">
      <c r="A493" s="51"/>
      <c r="B493" s="51"/>
      <c r="C493" s="51"/>
      <c r="D493" s="51"/>
      <c r="E493" s="51"/>
      <c r="F493" s="51"/>
      <c r="G493" s="51"/>
      <c r="H493" s="51"/>
      <c r="I493" s="51"/>
      <c r="J493" s="51"/>
    </row>
    <row r="494" spans="1:10" ht="13.8" x14ac:dyDescent="0.25">
      <c r="A494" s="460" t="s">
        <v>211</v>
      </c>
      <c r="B494" s="461"/>
      <c r="C494" s="461"/>
      <c r="D494" s="461"/>
      <c r="E494" s="461"/>
      <c r="F494" s="461"/>
      <c r="G494" s="461"/>
      <c r="H494" s="461"/>
      <c r="I494" s="461"/>
      <c r="J494" s="462"/>
    </row>
    <row r="495" spans="1:10" ht="13.2" customHeight="1" x14ac:dyDescent="0.25">
      <c r="A495" s="463" t="s">
        <v>151</v>
      </c>
      <c r="B495" s="528"/>
      <c r="C495" s="528"/>
      <c r="D495" s="592"/>
      <c r="E495" s="466"/>
      <c r="F495" s="467"/>
      <c r="G495" s="467"/>
      <c r="H495" s="467"/>
      <c r="I495" s="467"/>
      <c r="J495" s="468"/>
    </row>
    <row r="496" spans="1:10" ht="13.2" customHeight="1" x14ac:dyDescent="0.25">
      <c r="A496" s="472" t="s">
        <v>181</v>
      </c>
      <c r="B496" s="473"/>
      <c r="C496" s="473"/>
      <c r="D496" s="474"/>
      <c r="E496" s="469"/>
      <c r="F496" s="470"/>
      <c r="G496" s="470"/>
      <c r="H496" s="470"/>
      <c r="I496" s="470"/>
      <c r="J496" s="471"/>
    </row>
    <row r="497" spans="1:10" x14ac:dyDescent="0.25">
      <c r="A497" s="475" t="s">
        <v>182</v>
      </c>
      <c r="B497" s="476"/>
      <c r="C497" s="476"/>
      <c r="D497" s="477"/>
      <c r="E497" s="478"/>
      <c r="F497" s="479"/>
      <c r="G497" s="479"/>
      <c r="H497" s="479"/>
      <c r="I497" s="479"/>
      <c r="J497" s="480"/>
    </row>
    <row r="498" spans="1:10" ht="13.2" customHeight="1" x14ac:dyDescent="0.25">
      <c r="A498" s="52"/>
      <c r="B498" s="53"/>
      <c r="C498" s="53"/>
      <c r="D498" s="53"/>
      <c r="E498" s="589" t="s">
        <v>155</v>
      </c>
      <c r="F498" s="589"/>
      <c r="G498" s="589" t="s">
        <v>156</v>
      </c>
      <c r="H498" s="589"/>
      <c r="I498" s="590" t="s">
        <v>157</v>
      </c>
      <c r="J498" s="591"/>
    </row>
    <row r="499" spans="1:10" x14ac:dyDescent="0.25">
      <c r="A499" s="449" t="s">
        <v>158</v>
      </c>
      <c r="B499" s="450"/>
      <c r="C499" s="450"/>
      <c r="D499" s="451"/>
      <c r="E499" s="585"/>
      <c r="F499" s="586"/>
      <c r="G499" s="585"/>
      <c r="H499" s="586"/>
      <c r="I499" s="587"/>
      <c r="J499" s="588"/>
    </row>
    <row r="500" spans="1:10" x14ac:dyDescent="0.25">
      <c r="A500" s="454" t="s">
        <v>159</v>
      </c>
      <c r="B500" s="455"/>
      <c r="C500" s="455"/>
      <c r="D500" s="456"/>
      <c r="E500" s="573"/>
      <c r="F500" s="574"/>
      <c r="G500" s="575"/>
      <c r="H500" s="576"/>
      <c r="I500" s="579"/>
      <c r="J500" s="580"/>
    </row>
    <row r="501" spans="1:10" x14ac:dyDescent="0.25">
      <c r="A501" s="449" t="s">
        <v>160</v>
      </c>
      <c r="B501" s="450"/>
      <c r="C501" s="450"/>
      <c r="D501" s="451"/>
      <c r="E501" s="585"/>
      <c r="F501" s="586"/>
      <c r="G501" s="585"/>
      <c r="H501" s="586"/>
      <c r="I501" s="587"/>
      <c r="J501" s="588"/>
    </row>
    <row r="502" spans="1:10" x14ac:dyDescent="0.25">
      <c r="A502" s="454" t="s">
        <v>161</v>
      </c>
      <c r="B502" s="455"/>
      <c r="C502" s="455"/>
      <c r="D502" s="456"/>
      <c r="E502" s="573"/>
      <c r="F502" s="574"/>
      <c r="G502" s="575"/>
      <c r="H502" s="576"/>
      <c r="I502" s="579"/>
      <c r="J502" s="580"/>
    </row>
    <row r="503" spans="1:10" x14ac:dyDescent="0.25">
      <c r="A503" s="449" t="s">
        <v>162</v>
      </c>
      <c r="B503" s="450"/>
      <c r="C503" s="450"/>
      <c r="D503" s="451"/>
      <c r="E503" s="585"/>
      <c r="F503" s="586"/>
      <c r="G503" s="585"/>
      <c r="H503" s="586"/>
      <c r="I503" s="587"/>
      <c r="J503" s="588"/>
    </row>
    <row r="504" spans="1:10" x14ac:dyDescent="0.25">
      <c r="A504" s="454" t="s">
        <v>163</v>
      </c>
      <c r="B504" s="455"/>
      <c r="C504" s="455"/>
      <c r="D504" s="456"/>
      <c r="E504" s="573"/>
      <c r="F504" s="574"/>
      <c r="G504" s="575"/>
      <c r="H504" s="576"/>
      <c r="I504" s="579"/>
      <c r="J504" s="580"/>
    </row>
    <row r="505" spans="1:10" x14ac:dyDescent="0.25">
      <c r="A505" s="449" t="s">
        <v>164</v>
      </c>
      <c r="B505" s="450"/>
      <c r="C505" s="450"/>
      <c r="D505" s="451"/>
      <c r="E505" s="581"/>
      <c r="F505" s="582"/>
      <c r="G505" s="581"/>
      <c r="H505" s="582"/>
      <c r="I505" s="583"/>
      <c r="J505" s="584"/>
    </row>
    <row r="506" spans="1:10" x14ac:dyDescent="0.25">
      <c r="A506" s="437"/>
      <c r="B506" s="438"/>
      <c r="C506" s="438"/>
      <c r="D506" s="439"/>
      <c r="E506" s="573"/>
      <c r="F506" s="574"/>
      <c r="G506" s="575"/>
      <c r="H506" s="576"/>
      <c r="I506" s="575"/>
      <c r="J506" s="576"/>
    </row>
    <row r="507" spans="1:10" x14ac:dyDescent="0.25">
      <c r="A507" s="437"/>
      <c r="B507" s="438"/>
      <c r="C507" s="438"/>
      <c r="D507" s="439"/>
      <c r="E507" s="573"/>
      <c r="F507" s="574"/>
      <c r="G507" s="575"/>
      <c r="H507" s="576"/>
      <c r="I507" s="575"/>
      <c r="J507" s="576"/>
    </row>
    <row r="508" spans="1:10" x14ac:dyDescent="0.25">
      <c r="A508" s="437"/>
      <c r="B508" s="438"/>
      <c r="C508" s="438"/>
      <c r="D508" s="439"/>
      <c r="E508" s="573"/>
      <c r="F508" s="574"/>
      <c r="G508" s="575"/>
      <c r="H508" s="576"/>
      <c r="I508" s="575"/>
      <c r="J508" s="576"/>
    </row>
    <row r="509" spans="1:10" x14ac:dyDescent="0.25">
      <c r="A509" s="442" t="s">
        <v>165</v>
      </c>
      <c r="B509" s="443"/>
      <c r="C509" s="443"/>
      <c r="D509" s="444"/>
      <c r="E509" s="577">
        <f>SUM(E499:E508)</f>
        <v>0</v>
      </c>
      <c r="F509" s="578"/>
      <c r="G509" s="577">
        <f>SUM(G499:G508)</f>
        <v>0</v>
      </c>
      <c r="H509" s="578"/>
      <c r="I509" s="577">
        <f>SUM(I499:I508)</f>
        <v>0</v>
      </c>
      <c r="J509" s="578"/>
    </row>
    <row r="510" spans="1:10" ht="13.2" customHeight="1" x14ac:dyDescent="0.25">
      <c r="A510" s="446" t="s">
        <v>166</v>
      </c>
      <c r="B510" s="567"/>
      <c r="C510" s="567"/>
      <c r="D510" s="567"/>
      <c r="E510" s="567"/>
      <c r="F510" s="567"/>
      <c r="G510" s="567"/>
      <c r="H510" s="567"/>
      <c r="I510" s="567"/>
      <c r="J510" s="568"/>
    </row>
    <row r="511" spans="1:10" ht="13.2" customHeight="1" x14ac:dyDescent="0.25">
      <c r="A511" s="423" t="s">
        <v>167</v>
      </c>
      <c r="B511" s="569"/>
      <c r="C511" s="569"/>
      <c r="D511" s="569"/>
      <c r="E511" s="569"/>
      <c r="F511" s="569"/>
      <c r="G511" s="569"/>
      <c r="H511" s="569"/>
      <c r="I511" s="569"/>
      <c r="J511" s="570"/>
    </row>
    <row r="512" spans="1:10" ht="13.2" customHeight="1" x14ac:dyDescent="0.25">
      <c r="A512" s="423" t="s">
        <v>168</v>
      </c>
      <c r="B512" s="569"/>
      <c r="C512" s="569"/>
      <c r="D512" s="569"/>
      <c r="E512" s="569"/>
      <c r="F512" s="569"/>
      <c r="G512" s="569"/>
      <c r="H512" s="569"/>
      <c r="I512" s="569"/>
      <c r="J512" s="570"/>
    </row>
    <row r="513" spans="1:10" ht="13.2" customHeight="1" x14ac:dyDescent="0.25">
      <c r="A513" s="426" t="s">
        <v>169</v>
      </c>
      <c r="B513" s="571"/>
      <c r="C513" s="571"/>
      <c r="D513" s="571"/>
      <c r="E513" s="571"/>
      <c r="F513" s="571"/>
      <c r="G513" s="571"/>
      <c r="H513" s="571"/>
      <c r="I513" s="571"/>
      <c r="J513" s="572"/>
    </row>
    <row r="514" spans="1:10" x14ac:dyDescent="0.25">
      <c r="A514" s="552"/>
      <c r="B514" s="553"/>
      <c r="C514" s="553"/>
      <c r="D514" s="553"/>
      <c r="E514" s="553"/>
      <c r="F514" s="553"/>
      <c r="G514" s="553"/>
      <c r="H514" s="553"/>
      <c r="I514" s="553"/>
      <c r="J514" s="554"/>
    </row>
    <row r="515" spans="1:10" x14ac:dyDescent="0.25">
      <c r="A515" s="555"/>
      <c r="B515" s="556"/>
      <c r="C515" s="556"/>
      <c r="D515" s="556"/>
      <c r="E515" s="556"/>
      <c r="F515" s="556"/>
      <c r="G515" s="556"/>
      <c r="H515" s="556"/>
      <c r="I515" s="556"/>
      <c r="J515" s="557"/>
    </row>
    <row r="516" spans="1:10" x14ac:dyDescent="0.25">
      <c r="A516" s="555"/>
      <c r="B516" s="556"/>
      <c r="C516" s="556"/>
      <c r="D516" s="556"/>
      <c r="E516" s="556"/>
      <c r="F516" s="556"/>
      <c r="G516" s="556"/>
      <c r="H516" s="556"/>
      <c r="I516" s="556"/>
      <c r="J516" s="557"/>
    </row>
    <row r="517" spans="1:10" x14ac:dyDescent="0.25">
      <c r="A517" s="555"/>
      <c r="B517" s="556"/>
      <c r="C517" s="556"/>
      <c r="D517" s="556"/>
      <c r="E517" s="556"/>
      <c r="F517" s="556"/>
      <c r="G517" s="556"/>
      <c r="H517" s="556"/>
      <c r="I517" s="556"/>
      <c r="J517" s="557"/>
    </row>
    <row r="518" spans="1:10" x14ac:dyDescent="0.25">
      <c r="A518" s="555"/>
      <c r="B518" s="556"/>
      <c r="C518" s="556"/>
      <c r="D518" s="556"/>
      <c r="E518" s="556"/>
      <c r="F518" s="556"/>
      <c r="G518" s="556"/>
      <c r="H518" s="556"/>
      <c r="I518" s="556"/>
      <c r="J518" s="557"/>
    </row>
    <row r="519" spans="1:10" x14ac:dyDescent="0.25">
      <c r="A519" s="555"/>
      <c r="B519" s="556"/>
      <c r="C519" s="556"/>
      <c r="D519" s="556"/>
      <c r="E519" s="556"/>
      <c r="F519" s="556"/>
      <c r="G519" s="556"/>
      <c r="H519" s="556"/>
      <c r="I519" s="556"/>
      <c r="J519" s="557"/>
    </row>
    <row r="520" spans="1:10" x14ac:dyDescent="0.25">
      <c r="A520" s="555"/>
      <c r="B520" s="556"/>
      <c r="C520" s="556"/>
      <c r="D520" s="556"/>
      <c r="E520" s="556"/>
      <c r="F520" s="556"/>
      <c r="G520" s="556"/>
      <c r="H520" s="556"/>
      <c r="I520" s="556"/>
      <c r="J520" s="557"/>
    </row>
    <row r="521" spans="1:10" x14ac:dyDescent="0.25">
      <c r="A521" s="555"/>
      <c r="B521" s="556"/>
      <c r="C521" s="556"/>
      <c r="D521" s="556"/>
      <c r="E521" s="556"/>
      <c r="F521" s="556"/>
      <c r="G521" s="556"/>
      <c r="H521" s="556"/>
      <c r="I521" s="556"/>
      <c r="J521" s="557"/>
    </row>
    <row r="522" spans="1:10" x14ac:dyDescent="0.25">
      <c r="A522" s="555"/>
      <c r="B522" s="556"/>
      <c r="C522" s="556"/>
      <c r="D522" s="556"/>
      <c r="E522" s="556"/>
      <c r="F522" s="556"/>
      <c r="G522" s="556"/>
      <c r="H522" s="556"/>
      <c r="I522" s="556"/>
      <c r="J522" s="557"/>
    </row>
    <row r="523" spans="1:10" x14ac:dyDescent="0.25">
      <c r="A523" s="555"/>
      <c r="B523" s="556"/>
      <c r="C523" s="556"/>
      <c r="D523" s="556"/>
      <c r="E523" s="556"/>
      <c r="F523" s="556"/>
      <c r="G523" s="556"/>
      <c r="H523" s="556"/>
      <c r="I523" s="556"/>
      <c r="J523" s="557"/>
    </row>
    <row r="524" spans="1:10" x14ac:dyDescent="0.25">
      <c r="A524" s="555"/>
      <c r="B524" s="556"/>
      <c r="C524" s="556"/>
      <c r="D524" s="556"/>
      <c r="E524" s="556"/>
      <c r="F524" s="556"/>
      <c r="G524" s="556"/>
      <c r="H524" s="556"/>
      <c r="I524" s="556"/>
      <c r="J524" s="557"/>
    </row>
    <row r="525" spans="1:10" x14ac:dyDescent="0.25">
      <c r="A525" s="555"/>
      <c r="B525" s="556"/>
      <c r="C525" s="556"/>
      <c r="D525" s="556"/>
      <c r="E525" s="556"/>
      <c r="F525" s="556"/>
      <c r="G525" s="556"/>
      <c r="H525" s="556"/>
      <c r="I525" s="556"/>
      <c r="J525" s="557"/>
    </row>
    <row r="526" spans="1:10" x14ac:dyDescent="0.25">
      <c r="A526" s="555"/>
      <c r="B526" s="556"/>
      <c r="C526" s="556"/>
      <c r="D526" s="556"/>
      <c r="E526" s="556"/>
      <c r="F526" s="556"/>
      <c r="G526" s="556"/>
      <c r="H526" s="556"/>
      <c r="I526" s="556"/>
      <c r="J526" s="557"/>
    </row>
    <row r="527" spans="1:10" x14ac:dyDescent="0.25">
      <c r="A527" s="555"/>
      <c r="B527" s="556"/>
      <c r="C527" s="556"/>
      <c r="D527" s="556"/>
      <c r="E527" s="556"/>
      <c r="F527" s="556"/>
      <c r="G527" s="556"/>
      <c r="H527" s="556"/>
      <c r="I527" s="556"/>
      <c r="J527" s="557"/>
    </row>
    <row r="528" spans="1:10" x14ac:dyDescent="0.25">
      <c r="A528" s="555"/>
      <c r="B528" s="556"/>
      <c r="C528" s="556"/>
      <c r="D528" s="556"/>
      <c r="E528" s="556"/>
      <c r="F528" s="556"/>
      <c r="G528" s="556"/>
      <c r="H528" s="556"/>
      <c r="I528" s="556"/>
      <c r="J528" s="557"/>
    </row>
    <row r="529" spans="1:10" x14ac:dyDescent="0.25">
      <c r="A529" s="555"/>
      <c r="B529" s="556"/>
      <c r="C529" s="556"/>
      <c r="D529" s="556"/>
      <c r="E529" s="556"/>
      <c r="F529" s="556"/>
      <c r="G529" s="556"/>
      <c r="H529" s="556"/>
      <c r="I529" s="556"/>
      <c r="J529" s="557"/>
    </row>
    <row r="530" spans="1:10" x14ac:dyDescent="0.25">
      <c r="A530" s="555"/>
      <c r="B530" s="556"/>
      <c r="C530" s="556"/>
      <c r="D530" s="556"/>
      <c r="E530" s="556"/>
      <c r="F530" s="556"/>
      <c r="G530" s="556"/>
      <c r="H530" s="556"/>
      <c r="I530" s="556"/>
      <c r="J530" s="557"/>
    </row>
    <row r="531" spans="1:10" x14ac:dyDescent="0.25">
      <c r="A531" s="555"/>
      <c r="B531" s="556"/>
      <c r="C531" s="556"/>
      <c r="D531" s="556"/>
      <c r="E531" s="556"/>
      <c r="F531" s="556"/>
      <c r="G531" s="556"/>
      <c r="H531" s="556"/>
      <c r="I531" s="556"/>
      <c r="J531" s="557"/>
    </row>
    <row r="532" spans="1:10" x14ac:dyDescent="0.25">
      <c r="A532" s="555"/>
      <c r="B532" s="556"/>
      <c r="C532" s="556"/>
      <c r="D532" s="556"/>
      <c r="E532" s="556"/>
      <c r="F532" s="556"/>
      <c r="G532" s="556"/>
      <c r="H532" s="556"/>
      <c r="I532" s="556"/>
      <c r="J532" s="557"/>
    </row>
    <row r="533" spans="1:10" x14ac:dyDescent="0.25">
      <c r="A533" s="555"/>
      <c r="B533" s="556"/>
      <c r="C533" s="556"/>
      <c r="D533" s="556"/>
      <c r="E533" s="556"/>
      <c r="F533" s="556"/>
      <c r="G533" s="556"/>
      <c r="H533" s="556"/>
      <c r="I533" s="556"/>
      <c r="J533" s="557"/>
    </row>
    <row r="534" spans="1:10" x14ac:dyDescent="0.25">
      <c r="A534" s="555"/>
      <c r="B534" s="556"/>
      <c r="C534" s="556"/>
      <c r="D534" s="556"/>
      <c r="E534" s="556"/>
      <c r="F534" s="556"/>
      <c r="G534" s="556"/>
      <c r="H534" s="556"/>
      <c r="I534" s="556"/>
      <c r="J534" s="557"/>
    </row>
    <row r="535" spans="1:10" x14ac:dyDescent="0.25">
      <c r="A535" s="555"/>
      <c r="B535" s="556"/>
      <c r="C535" s="556"/>
      <c r="D535" s="556"/>
      <c r="E535" s="556"/>
      <c r="F535" s="556"/>
      <c r="G535" s="556"/>
      <c r="H535" s="556"/>
      <c r="I535" s="556"/>
      <c r="J535" s="557"/>
    </row>
    <row r="536" spans="1:10" x14ac:dyDescent="0.25">
      <c r="A536" s="555"/>
      <c r="B536" s="556"/>
      <c r="C536" s="556"/>
      <c r="D536" s="556"/>
      <c r="E536" s="556"/>
      <c r="F536" s="556"/>
      <c r="G536" s="556"/>
      <c r="H536" s="556"/>
      <c r="I536" s="556"/>
      <c r="J536" s="557"/>
    </row>
    <row r="537" spans="1:10" x14ac:dyDescent="0.25">
      <c r="A537" s="555"/>
      <c r="B537" s="556"/>
      <c r="C537" s="556"/>
      <c r="D537" s="556"/>
      <c r="E537" s="556"/>
      <c r="F537" s="556"/>
      <c r="G537" s="556"/>
      <c r="H537" s="556"/>
      <c r="I537" s="556"/>
      <c r="J537" s="557"/>
    </row>
    <row r="538" spans="1:10" x14ac:dyDescent="0.25">
      <c r="A538" s="555"/>
      <c r="B538" s="556"/>
      <c r="C538" s="556"/>
      <c r="D538" s="556"/>
      <c r="E538" s="556"/>
      <c r="F538" s="556"/>
      <c r="G538" s="556"/>
      <c r="H538" s="556"/>
      <c r="I538" s="556"/>
      <c r="J538" s="557"/>
    </row>
    <row r="539" spans="1:10" x14ac:dyDescent="0.25">
      <c r="A539" s="555"/>
      <c r="B539" s="556"/>
      <c r="C539" s="556"/>
      <c r="D539" s="556"/>
      <c r="E539" s="556"/>
      <c r="F539" s="556"/>
      <c r="G539" s="556"/>
      <c r="H539" s="556"/>
      <c r="I539" s="556"/>
      <c r="J539" s="557"/>
    </row>
    <row r="540" spans="1:10" x14ac:dyDescent="0.25">
      <c r="A540" s="555"/>
      <c r="B540" s="556"/>
      <c r="C540" s="556"/>
      <c r="D540" s="556"/>
      <c r="E540" s="556"/>
      <c r="F540" s="556"/>
      <c r="G540" s="556"/>
      <c r="H540" s="556"/>
      <c r="I540" s="556"/>
      <c r="J540" s="557"/>
    </row>
    <row r="541" spans="1:10" x14ac:dyDescent="0.25">
      <c r="A541" s="555"/>
      <c r="B541" s="556"/>
      <c r="C541" s="556"/>
      <c r="D541" s="556"/>
      <c r="E541" s="556"/>
      <c r="F541" s="556"/>
      <c r="G541" s="556"/>
      <c r="H541" s="556"/>
      <c r="I541" s="556"/>
      <c r="J541" s="557"/>
    </row>
    <row r="542" spans="1:10" x14ac:dyDescent="0.25">
      <c r="A542" s="555"/>
      <c r="B542" s="556"/>
      <c r="C542" s="556"/>
      <c r="D542" s="556"/>
      <c r="E542" s="556"/>
      <c r="F542" s="556"/>
      <c r="G542" s="556"/>
      <c r="H542" s="556"/>
      <c r="I542" s="556"/>
      <c r="J542" s="557"/>
    </row>
    <row r="543" spans="1:10" x14ac:dyDescent="0.25">
      <c r="A543" s="555"/>
      <c r="B543" s="556"/>
      <c r="C543" s="556"/>
      <c r="D543" s="556"/>
      <c r="E543" s="556"/>
      <c r="F543" s="556"/>
      <c r="G543" s="556"/>
      <c r="H543" s="556"/>
      <c r="I543" s="556"/>
      <c r="J543" s="557"/>
    </row>
    <row r="544" spans="1:10" x14ac:dyDescent="0.25">
      <c r="A544" s="558"/>
      <c r="B544" s="559"/>
      <c r="C544" s="559"/>
      <c r="D544" s="559"/>
      <c r="E544" s="559"/>
      <c r="F544" s="559"/>
      <c r="G544" s="559"/>
      <c r="H544" s="559"/>
      <c r="I544" s="559"/>
      <c r="J544" s="560"/>
    </row>
    <row r="545" spans="1:10" x14ac:dyDescent="0.25">
      <c r="A545" s="172"/>
      <c r="B545" s="172"/>
      <c r="C545" s="172"/>
      <c r="D545" s="172"/>
      <c r="E545" s="172"/>
      <c r="F545" s="172"/>
      <c r="G545" s="172"/>
      <c r="H545" s="172"/>
      <c r="I545" s="172"/>
      <c r="J545" s="172"/>
    </row>
    <row r="546" spans="1:10" ht="15.6" x14ac:dyDescent="0.3">
      <c r="A546" s="372" t="s">
        <v>76</v>
      </c>
      <c r="B546" s="373"/>
      <c r="C546" s="373"/>
      <c r="D546" s="373"/>
      <c r="E546" s="373"/>
      <c r="F546" s="373"/>
      <c r="G546" s="373"/>
      <c r="H546" s="370" t="str">
        <f>'CONTACT INFORMATION'!$A$24</f>
        <v>Ventura</v>
      </c>
      <c r="I546" s="370"/>
      <c r="J546" s="371"/>
    </row>
    <row r="547" spans="1:10" ht="15.6" x14ac:dyDescent="0.3">
      <c r="A547" s="51"/>
      <c r="B547" s="51"/>
      <c r="C547" s="51"/>
      <c r="D547" s="51"/>
      <c r="E547" s="51"/>
      <c r="F547" s="51"/>
      <c r="G547" s="51"/>
      <c r="H547" s="51"/>
      <c r="I547" s="51"/>
      <c r="J547" s="51"/>
    </row>
    <row r="548" spans="1:10" ht="13.8" x14ac:dyDescent="0.25">
      <c r="A548" s="460" t="s">
        <v>212</v>
      </c>
      <c r="B548" s="461"/>
      <c r="C548" s="461"/>
      <c r="D548" s="461"/>
      <c r="E548" s="461"/>
      <c r="F548" s="461"/>
      <c r="G548" s="461"/>
      <c r="H548" s="461"/>
      <c r="I548" s="461"/>
      <c r="J548" s="462"/>
    </row>
    <row r="549" spans="1:10" ht="13.2" customHeight="1" x14ac:dyDescent="0.25">
      <c r="A549" s="463" t="s">
        <v>151</v>
      </c>
      <c r="B549" s="528"/>
      <c r="C549" s="528"/>
      <c r="D549" s="592"/>
      <c r="E549" s="466"/>
      <c r="F549" s="467"/>
      <c r="G549" s="467"/>
      <c r="H549" s="467"/>
      <c r="I549" s="467"/>
      <c r="J549" s="468"/>
    </row>
    <row r="550" spans="1:10" ht="13.2" customHeight="1" x14ac:dyDescent="0.25">
      <c r="A550" s="472" t="s">
        <v>181</v>
      </c>
      <c r="B550" s="473"/>
      <c r="C550" s="473"/>
      <c r="D550" s="474"/>
      <c r="E550" s="469"/>
      <c r="F550" s="470"/>
      <c r="G550" s="470"/>
      <c r="H550" s="470"/>
      <c r="I550" s="470"/>
      <c r="J550" s="471"/>
    </row>
    <row r="551" spans="1:10" x14ac:dyDescent="0.25">
      <c r="A551" s="475" t="s">
        <v>182</v>
      </c>
      <c r="B551" s="476"/>
      <c r="C551" s="476"/>
      <c r="D551" s="477"/>
      <c r="E551" s="478"/>
      <c r="F551" s="479"/>
      <c r="G551" s="479"/>
      <c r="H551" s="479"/>
      <c r="I551" s="479"/>
      <c r="J551" s="480"/>
    </row>
    <row r="552" spans="1:10" ht="13.2" customHeight="1" x14ac:dyDescent="0.25">
      <c r="A552" s="52"/>
      <c r="B552" s="53"/>
      <c r="C552" s="53"/>
      <c r="D552" s="53"/>
      <c r="E552" s="589" t="s">
        <v>155</v>
      </c>
      <c r="F552" s="589"/>
      <c r="G552" s="589" t="s">
        <v>156</v>
      </c>
      <c r="H552" s="589"/>
      <c r="I552" s="590" t="s">
        <v>157</v>
      </c>
      <c r="J552" s="591"/>
    </row>
    <row r="553" spans="1:10" x14ac:dyDescent="0.25">
      <c r="A553" s="449" t="s">
        <v>158</v>
      </c>
      <c r="B553" s="450"/>
      <c r="C553" s="450"/>
      <c r="D553" s="451"/>
      <c r="E553" s="585"/>
      <c r="F553" s="586"/>
      <c r="G553" s="585"/>
      <c r="H553" s="586"/>
      <c r="I553" s="587"/>
      <c r="J553" s="588"/>
    </row>
    <row r="554" spans="1:10" x14ac:dyDescent="0.25">
      <c r="A554" s="454" t="s">
        <v>159</v>
      </c>
      <c r="B554" s="455"/>
      <c r="C554" s="455"/>
      <c r="D554" s="456"/>
      <c r="E554" s="573"/>
      <c r="F554" s="574"/>
      <c r="G554" s="575"/>
      <c r="H554" s="576"/>
      <c r="I554" s="579"/>
      <c r="J554" s="580"/>
    </row>
    <row r="555" spans="1:10" x14ac:dyDescent="0.25">
      <c r="A555" s="449" t="s">
        <v>160</v>
      </c>
      <c r="B555" s="450"/>
      <c r="C555" s="450"/>
      <c r="D555" s="451"/>
      <c r="E555" s="585"/>
      <c r="F555" s="586"/>
      <c r="G555" s="585"/>
      <c r="H555" s="586"/>
      <c r="I555" s="587"/>
      <c r="J555" s="588"/>
    </row>
    <row r="556" spans="1:10" x14ac:dyDescent="0.25">
      <c r="A556" s="454" t="s">
        <v>161</v>
      </c>
      <c r="B556" s="455"/>
      <c r="C556" s="455"/>
      <c r="D556" s="456"/>
      <c r="E556" s="573"/>
      <c r="F556" s="574"/>
      <c r="G556" s="575"/>
      <c r="H556" s="576"/>
      <c r="I556" s="579"/>
      <c r="J556" s="580"/>
    </row>
    <row r="557" spans="1:10" x14ac:dyDescent="0.25">
      <c r="A557" s="449" t="s">
        <v>162</v>
      </c>
      <c r="B557" s="450"/>
      <c r="C557" s="450"/>
      <c r="D557" s="451"/>
      <c r="E557" s="585"/>
      <c r="F557" s="586"/>
      <c r="G557" s="585"/>
      <c r="H557" s="586"/>
      <c r="I557" s="587"/>
      <c r="J557" s="588"/>
    </row>
    <row r="558" spans="1:10" x14ac:dyDescent="0.25">
      <c r="A558" s="454" t="s">
        <v>163</v>
      </c>
      <c r="B558" s="455"/>
      <c r="C558" s="455"/>
      <c r="D558" s="456"/>
      <c r="E558" s="573"/>
      <c r="F558" s="574"/>
      <c r="G558" s="575"/>
      <c r="H558" s="576"/>
      <c r="I558" s="579"/>
      <c r="J558" s="580"/>
    </row>
    <row r="559" spans="1:10" x14ac:dyDescent="0.25">
      <c r="A559" s="449" t="s">
        <v>164</v>
      </c>
      <c r="B559" s="450"/>
      <c r="C559" s="450"/>
      <c r="D559" s="451"/>
      <c r="E559" s="581"/>
      <c r="F559" s="582"/>
      <c r="G559" s="581"/>
      <c r="H559" s="582"/>
      <c r="I559" s="583"/>
      <c r="J559" s="584"/>
    </row>
    <row r="560" spans="1:10" x14ac:dyDescent="0.25">
      <c r="A560" s="437"/>
      <c r="B560" s="438"/>
      <c r="C560" s="438"/>
      <c r="D560" s="439"/>
      <c r="E560" s="573"/>
      <c r="F560" s="574"/>
      <c r="G560" s="575"/>
      <c r="H560" s="576"/>
      <c r="I560" s="575"/>
      <c r="J560" s="576"/>
    </row>
    <row r="561" spans="1:10" x14ac:dyDescent="0.25">
      <c r="A561" s="437"/>
      <c r="B561" s="438"/>
      <c r="C561" s="438"/>
      <c r="D561" s="439"/>
      <c r="E561" s="573"/>
      <c r="F561" s="574"/>
      <c r="G561" s="575"/>
      <c r="H561" s="576"/>
      <c r="I561" s="575"/>
      <c r="J561" s="576"/>
    </row>
    <row r="562" spans="1:10" x14ac:dyDescent="0.25">
      <c r="A562" s="437"/>
      <c r="B562" s="438"/>
      <c r="C562" s="438"/>
      <c r="D562" s="439"/>
      <c r="E562" s="573"/>
      <c r="F562" s="574"/>
      <c r="G562" s="575"/>
      <c r="H562" s="576"/>
      <c r="I562" s="575"/>
      <c r="J562" s="576"/>
    </row>
    <row r="563" spans="1:10" x14ac:dyDescent="0.25">
      <c r="A563" s="442" t="s">
        <v>165</v>
      </c>
      <c r="B563" s="443"/>
      <c r="C563" s="443"/>
      <c r="D563" s="444"/>
      <c r="E563" s="577">
        <f>SUM(E553:E562)</f>
        <v>0</v>
      </c>
      <c r="F563" s="578"/>
      <c r="G563" s="577">
        <f>SUM(G553:G562)</f>
        <v>0</v>
      </c>
      <c r="H563" s="578"/>
      <c r="I563" s="577">
        <f>SUM(I553:I562)</f>
        <v>0</v>
      </c>
      <c r="J563" s="578"/>
    </row>
    <row r="564" spans="1:10" ht="13.2" customHeight="1" x14ac:dyDescent="0.25">
      <c r="A564" s="446" t="s">
        <v>166</v>
      </c>
      <c r="B564" s="567"/>
      <c r="C564" s="567"/>
      <c r="D564" s="567"/>
      <c r="E564" s="567"/>
      <c r="F564" s="567"/>
      <c r="G564" s="567"/>
      <c r="H564" s="567"/>
      <c r="I564" s="567"/>
      <c r="J564" s="568"/>
    </row>
    <row r="565" spans="1:10" ht="13.2" customHeight="1" x14ac:dyDescent="0.25">
      <c r="A565" s="423" t="s">
        <v>167</v>
      </c>
      <c r="B565" s="569"/>
      <c r="C565" s="569"/>
      <c r="D565" s="569"/>
      <c r="E565" s="569"/>
      <c r="F565" s="569"/>
      <c r="G565" s="569"/>
      <c r="H565" s="569"/>
      <c r="I565" s="569"/>
      <c r="J565" s="570"/>
    </row>
    <row r="566" spans="1:10" ht="13.2" customHeight="1" x14ac:dyDescent="0.25">
      <c r="A566" s="423" t="s">
        <v>168</v>
      </c>
      <c r="B566" s="569"/>
      <c r="C566" s="569"/>
      <c r="D566" s="569"/>
      <c r="E566" s="569"/>
      <c r="F566" s="569"/>
      <c r="G566" s="569"/>
      <c r="H566" s="569"/>
      <c r="I566" s="569"/>
      <c r="J566" s="570"/>
    </row>
    <row r="567" spans="1:10" ht="13.2" customHeight="1" x14ac:dyDescent="0.25">
      <c r="A567" s="426" t="s">
        <v>169</v>
      </c>
      <c r="B567" s="571"/>
      <c r="C567" s="571"/>
      <c r="D567" s="571"/>
      <c r="E567" s="571"/>
      <c r="F567" s="571"/>
      <c r="G567" s="571"/>
      <c r="H567" s="571"/>
      <c r="I567" s="571"/>
      <c r="J567" s="572"/>
    </row>
    <row r="568" spans="1:10" x14ac:dyDescent="0.25">
      <c r="A568" s="552"/>
      <c r="B568" s="553"/>
      <c r="C568" s="553"/>
      <c r="D568" s="553"/>
      <c r="E568" s="553"/>
      <c r="F568" s="553"/>
      <c r="G568" s="553"/>
      <c r="H568" s="553"/>
      <c r="I568" s="553"/>
      <c r="J568" s="554"/>
    </row>
    <row r="569" spans="1:10" x14ac:dyDescent="0.25">
      <c r="A569" s="555"/>
      <c r="B569" s="556"/>
      <c r="C569" s="556"/>
      <c r="D569" s="556"/>
      <c r="E569" s="556"/>
      <c r="F569" s="556"/>
      <c r="G569" s="556"/>
      <c r="H569" s="556"/>
      <c r="I569" s="556"/>
      <c r="J569" s="557"/>
    </row>
    <row r="570" spans="1:10" x14ac:dyDescent="0.25">
      <c r="A570" s="555"/>
      <c r="B570" s="556"/>
      <c r="C570" s="556"/>
      <c r="D570" s="556"/>
      <c r="E570" s="556"/>
      <c r="F570" s="556"/>
      <c r="G570" s="556"/>
      <c r="H570" s="556"/>
      <c r="I570" s="556"/>
      <c r="J570" s="557"/>
    </row>
    <row r="571" spans="1:10" x14ac:dyDescent="0.25">
      <c r="A571" s="555"/>
      <c r="B571" s="556"/>
      <c r="C571" s="556"/>
      <c r="D571" s="556"/>
      <c r="E571" s="556"/>
      <c r="F571" s="556"/>
      <c r="G571" s="556"/>
      <c r="H571" s="556"/>
      <c r="I571" s="556"/>
      <c r="J571" s="557"/>
    </row>
    <row r="572" spans="1:10" x14ac:dyDescent="0.25">
      <c r="A572" s="555"/>
      <c r="B572" s="556"/>
      <c r="C572" s="556"/>
      <c r="D572" s="556"/>
      <c r="E572" s="556"/>
      <c r="F572" s="556"/>
      <c r="G572" s="556"/>
      <c r="H572" s="556"/>
      <c r="I572" s="556"/>
      <c r="J572" s="557"/>
    </row>
    <row r="573" spans="1:10" x14ac:dyDescent="0.25">
      <c r="A573" s="555"/>
      <c r="B573" s="556"/>
      <c r="C573" s="556"/>
      <c r="D573" s="556"/>
      <c r="E573" s="556"/>
      <c r="F573" s="556"/>
      <c r="G573" s="556"/>
      <c r="H573" s="556"/>
      <c r="I573" s="556"/>
      <c r="J573" s="557"/>
    </row>
    <row r="574" spans="1:10" x14ac:dyDescent="0.25">
      <c r="A574" s="555"/>
      <c r="B574" s="556"/>
      <c r="C574" s="556"/>
      <c r="D574" s="556"/>
      <c r="E574" s="556"/>
      <c r="F574" s="556"/>
      <c r="G574" s="556"/>
      <c r="H574" s="556"/>
      <c r="I574" s="556"/>
      <c r="J574" s="557"/>
    </row>
    <row r="575" spans="1:10" x14ac:dyDescent="0.25">
      <c r="A575" s="555"/>
      <c r="B575" s="556"/>
      <c r="C575" s="556"/>
      <c r="D575" s="556"/>
      <c r="E575" s="556"/>
      <c r="F575" s="556"/>
      <c r="G575" s="556"/>
      <c r="H575" s="556"/>
      <c r="I575" s="556"/>
      <c r="J575" s="557"/>
    </row>
    <row r="576" spans="1:10" x14ac:dyDescent="0.25">
      <c r="A576" s="555"/>
      <c r="B576" s="556"/>
      <c r="C576" s="556"/>
      <c r="D576" s="556"/>
      <c r="E576" s="556"/>
      <c r="F576" s="556"/>
      <c r="G576" s="556"/>
      <c r="H576" s="556"/>
      <c r="I576" s="556"/>
      <c r="J576" s="557"/>
    </row>
    <row r="577" spans="1:10" x14ac:dyDescent="0.25">
      <c r="A577" s="555"/>
      <c r="B577" s="556"/>
      <c r="C577" s="556"/>
      <c r="D577" s="556"/>
      <c r="E577" s="556"/>
      <c r="F577" s="556"/>
      <c r="G577" s="556"/>
      <c r="H577" s="556"/>
      <c r="I577" s="556"/>
      <c r="J577" s="557"/>
    </row>
    <row r="578" spans="1:10" x14ac:dyDescent="0.25">
      <c r="A578" s="555"/>
      <c r="B578" s="556"/>
      <c r="C578" s="556"/>
      <c r="D578" s="556"/>
      <c r="E578" s="556"/>
      <c r="F578" s="556"/>
      <c r="G578" s="556"/>
      <c r="H578" s="556"/>
      <c r="I578" s="556"/>
      <c r="J578" s="557"/>
    </row>
    <row r="579" spans="1:10" x14ac:dyDescent="0.25">
      <c r="A579" s="555"/>
      <c r="B579" s="556"/>
      <c r="C579" s="556"/>
      <c r="D579" s="556"/>
      <c r="E579" s="556"/>
      <c r="F579" s="556"/>
      <c r="G579" s="556"/>
      <c r="H579" s="556"/>
      <c r="I579" s="556"/>
      <c r="J579" s="557"/>
    </row>
    <row r="580" spans="1:10" x14ac:dyDescent="0.25">
      <c r="A580" s="555"/>
      <c r="B580" s="556"/>
      <c r="C580" s="556"/>
      <c r="D580" s="556"/>
      <c r="E580" s="556"/>
      <c r="F580" s="556"/>
      <c r="G580" s="556"/>
      <c r="H580" s="556"/>
      <c r="I580" s="556"/>
      <c r="J580" s="557"/>
    </row>
    <row r="581" spans="1:10" x14ac:dyDescent="0.25">
      <c r="A581" s="555"/>
      <c r="B581" s="556"/>
      <c r="C581" s="556"/>
      <c r="D581" s="556"/>
      <c r="E581" s="556"/>
      <c r="F581" s="556"/>
      <c r="G581" s="556"/>
      <c r="H581" s="556"/>
      <c r="I581" s="556"/>
      <c r="J581" s="557"/>
    </row>
    <row r="582" spans="1:10" x14ac:dyDescent="0.25">
      <c r="A582" s="555"/>
      <c r="B582" s="556"/>
      <c r="C582" s="556"/>
      <c r="D582" s="556"/>
      <c r="E582" s="556"/>
      <c r="F582" s="556"/>
      <c r="G582" s="556"/>
      <c r="H582" s="556"/>
      <c r="I582" s="556"/>
      <c r="J582" s="557"/>
    </row>
    <row r="583" spans="1:10" x14ac:dyDescent="0.25">
      <c r="A583" s="555"/>
      <c r="B583" s="556"/>
      <c r="C583" s="556"/>
      <c r="D583" s="556"/>
      <c r="E583" s="556"/>
      <c r="F583" s="556"/>
      <c r="G583" s="556"/>
      <c r="H583" s="556"/>
      <c r="I583" s="556"/>
      <c r="J583" s="557"/>
    </row>
    <row r="584" spans="1:10" x14ac:dyDescent="0.25">
      <c r="A584" s="555"/>
      <c r="B584" s="556"/>
      <c r="C584" s="556"/>
      <c r="D584" s="556"/>
      <c r="E584" s="556"/>
      <c r="F584" s="556"/>
      <c r="G584" s="556"/>
      <c r="H584" s="556"/>
      <c r="I584" s="556"/>
      <c r="J584" s="557"/>
    </row>
    <row r="585" spans="1:10" x14ac:dyDescent="0.25">
      <c r="A585" s="555"/>
      <c r="B585" s="556"/>
      <c r="C585" s="556"/>
      <c r="D585" s="556"/>
      <c r="E585" s="556"/>
      <c r="F585" s="556"/>
      <c r="G585" s="556"/>
      <c r="H585" s="556"/>
      <c r="I585" s="556"/>
      <c r="J585" s="557"/>
    </row>
    <row r="586" spans="1:10" x14ac:dyDescent="0.25">
      <c r="A586" s="555"/>
      <c r="B586" s="556"/>
      <c r="C586" s="556"/>
      <c r="D586" s="556"/>
      <c r="E586" s="556"/>
      <c r="F586" s="556"/>
      <c r="G586" s="556"/>
      <c r="H586" s="556"/>
      <c r="I586" s="556"/>
      <c r="J586" s="557"/>
    </row>
    <row r="587" spans="1:10" x14ac:dyDescent="0.25">
      <c r="A587" s="555"/>
      <c r="B587" s="556"/>
      <c r="C587" s="556"/>
      <c r="D587" s="556"/>
      <c r="E587" s="556"/>
      <c r="F587" s="556"/>
      <c r="G587" s="556"/>
      <c r="H587" s="556"/>
      <c r="I587" s="556"/>
      <c r="J587" s="557"/>
    </row>
    <row r="588" spans="1:10" x14ac:dyDescent="0.25">
      <c r="A588" s="555"/>
      <c r="B588" s="556"/>
      <c r="C588" s="556"/>
      <c r="D588" s="556"/>
      <c r="E588" s="556"/>
      <c r="F588" s="556"/>
      <c r="G588" s="556"/>
      <c r="H588" s="556"/>
      <c r="I588" s="556"/>
      <c r="J588" s="557"/>
    </row>
    <row r="589" spans="1:10" x14ac:dyDescent="0.25">
      <c r="A589" s="555"/>
      <c r="B589" s="556"/>
      <c r="C589" s="556"/>
      <c r="D589" s="556"/>
      <c r="E589" s="556"/>
      <c r="F589" s="556"/>
      <c r="G589" s="556"/>
      <c r="H589" s="556"/>
      <c r="I589" s="556"/>
      <c r="J589" s="557"/>
    </row>
    <row r="590" spans="1:10" x14ac:dyDescent="0.25">
      <c r="A590" s="555"/>
      <c r="B590" s="556"/>
      <c r="C590" s="556"/>
      <c r="D590" s="556"/>
      <c r="E590" s="556"/>
      <c r="F590" s="556"/>
      <c r="G590" s="556"/>
      <c r="H590" s="556"/>
      <c r="I590" s="556"/>
      <c r="J590" s="557"/>
    </row>
    <row r="591" spans="1:10" x14ac:dyDescent="0.25">
      <c r="A591" s="555"/>
      <c r="B591" s="556"/>
      <c r="C591" s="556"/>
      <c r="D591" s="556"/>
      <c r="E591" s="556"/>
      <c r="F591" s="556"/>
      <c r="G591" s="556"/>
      <c r="H591" s="556"/>
      <c r="I591" s="556"/>
      <c r="J591" s="557"/>
    </row>
    <row r="592" spans="1:10" x14ac:dyDescent="0.25">
      <c r="A592" s="555"/>
      <c r="B592" s="556"/>
      <c r="C592" s="556"/>
      <c r="D592" s="556"/>
      <c r="E592" s="556"/>
      <c r="F592" s="556"/>
      <c r="G592" s="556"/>
      <c r="H592" s="556"/>
      <c r="I592" s="556"/>
      <c r="J592" s="557"/>
    </row>
    <row r="593" spans="1:10" x14ac:dyDescent="0.25">
      <c r="A593" s="555"/>
      <c r="B593" s="556"/>
      <c r="C593" s="556"/>
      <c r="D593" s="556"/>
      <c r="E593" s="556"/>
      <c r="F593" s="556"/>
      <c r="G593" s="556"/>
      <c r="H593" s="556"/>
      <c r="I593" s="556"/>
      <c r="J593" s="557"/>
    </row>
    <row r="594" spans="1:10" x14ac:dyDescent="0.25">
      <c r="A594" s="555"/>
      <c r="B594" s="556"/>
      <c r="C594" s="556"/>
      <c r="D594" s="556"/>
      <c r="E594" s="556"/>
      <c r="F594" s="556"/>
      <c r="G594" s="556"/>
      <c r="H594" s="556"/>
      <c r="I594" s="556"/>
      <c r="J594" s="557"/>
    </row>
    <row r="595" spans="1:10" x14ac:dyDescent="0.25">
      <c r="A595" s="555"/>
      <c r="B595" s="556"/>
      <c r="C595" s="556"/>
      <c r="D595" s="556"/>
      <c r="E595" s="556"/>
      <c r="F595" s="556"/>
      <c r="G595" s="556"/>
      <c r="H595" s="556"/>
      <c r="I595" s="556"/>
      <c r="J595" s="557"/>
    </row>
    <row r="596" spans="1:10" x14ac:dyDescent="0.25">
      <c r="A596" s="555"/>
      <c r="B596" s="556"/>
      <c r="C596" s="556"/>
      <c r="D596" s="556"/>
      <c r="E596" s="556"/>
      <c r="F596" s="556"/>
      <c r="G596" s="556"/>
      <c r="H596" s="556"/>
      <c r="I596" s="556"/>
      <c r="J596" s="557"/>
    </row>
    <row r="597" spans="1:10" x14ac:dyDescent="0.25">
      <c r="A597" s="555"/>
      <c r="B597" s="556"/>
      <c r="C597" s="556"/>
      <c r="D597" s="556"/>
      <c r="E597" s="556"/>
      <c r="F597" s="556"/>
      <c r="G597" s="556"/>
      <c r="H597" s="556"/>
      <c r="I597" s="556"/>
      <c r="J597" s="557"/>
    </row>
    <row r="598" spans="1:10" x14ac:dyDescent="0.25">
      <c r="A598" s="558"/>
      <c r="B598" s="559"/>
      <c r="C598" s="559"/>
      <c r="D598" s="559"/>
      <c r="E598" s="559"/>
      <c r="F598" s="559"/>
      <c r="G598" s="559"/>
      <c r="H598" s="559"/>
      <c r="I598" s="559"/>
      <c r="J598" s="560"/>
    </row>
    <row r="599" spans="1:10" x14ac:dyDescent="0.25">
      <c r="A599" s="172"/>
      <c r="B599" s="172"/>
      <c r="C599" s="172"/>
      <c r="D599" s="172"/>
      <c r="E599" s="172"/>
      <c r="F599" s="172"/>
      <c r="G599" s="172"/>
      <c r="H599" s="172"/>
      <c r="I599" s="172"/>
      <c r="J599" s="172"/>
    </row>
    <row r="600" spans="1:10" ht="15.6" x14ac:dyDescent="0.3">
      <c r="A600" s="372" t="s">
        <v>76</v>
      </c>
      <c r="B600" s="373"/>
      <c r="C600" s="373"/>
      <c r="D600" s="373"/>
      <c r="E600" s="373"/>
      <c r="F600" s="373"/>
      <c r="G600" s="373"/>
      <c r="H600" s="370" t="str">
        <f>'CONTACT INFORMATION'!$A$24</f>
        <v>Ventura</v>
      </c>
      <c r="I600" s="370"/>
      <c r="J600" s="371"/>
    </row>
    <row r="601" spans="1:10" ht="15.6" x14ac:dyDescent="0.3">
      <c r="A601" s="51"/>
      <c r="B601" s="51"/>
      <c r="C601" s="51"/>
      <c r="D601" s="51"/>
      <c r="E601" s="51"/>
      <c r="F601" s="51"/>
      <c r="G601" s="51"/>
      <c r="H601" s="51"/>
      <c r="I601" s="51"/>
      <c r="J601" s="51"/>
    </row>
    <row r="602" spans="1:10" ht="13.8" x14ac:dyDescent="0.25">
      <c r="A602" s="460" t="s">
        <v>213</v>
      </c>
      <c r="B602" s="461"/>
      <c r="C602" s="461"/>
      <c r="D602" s="461"/>
      <c r="E602" s="461"/>
      <c r="F602" s="461"/>
      <c r="G602" s="461"/>
      <c r="H602" s="461"/>
      <c r="I602" s="461"/>
      <c r="J602" s="462"/>
    </row>
    <row r="603" spans="1:10" x14ac:dyDescent="0.25">
      <c r="A603" s="463" t="s">
        <v>151</v>
      </c>
      <c r="B603" s="464"/>
      <c r="C603" s="464"/>
      <c r="D603" s="465"/>
      <c r="E603" s="466"/>
      <c r="F603" s="467"/>
      <c r="G603" s="467"/>
      <c r="H603" s="467"/>
      <c r="I603" s="467"/>
      <c r="J603" s="468"/>
    </row>
    <row r="604" spans="1:10" x14ac:dyDescent="0.25">
      <c r="A604" s="472" t="s">
        <v>181</v>
      </c>
      <c r="B604" s="473"/>
      <c r="C604" s="473"/>
      <c r="D604" s="474"/>
      <c r="E604" s="469"/>
      <c r="F604" s="470"/>
      <c r="G604" s="470"/>
      <c r="H604" s="470"/>
      <c r="I604" s="470"/>
      <c r="J604" s="471"/>
    </row>
    <row r="605" spans="1:10" x14ac:dyDescent="0.25">
      <c r="A605" s="543" t="s">
        <v>182</v>
      </c>
      <c r="B605" s="544"/>
      <c r="C605" s="544"/>
      <c r="D605" s="544"/>
      <c r="E605" s="478"/>
      <c r="F605" s="479"/>
      <c r="G605" s="479"/>
      <c r="H605" s="479"/>
      <c r="I605" s="479"/>
      <c r="J605" s="480"/>
    </row>
    <row r="606" spans="1:10" x14ac:dyDescent="0.25">
      <c r="A606" s="52"/>
      <c r="B606" s="53"/>
      <c r="C606" s="53"/>
      <c r="D606" s="53"/>
      <c r="E606" s="481" t="s">
        <v>155</v>
      </c>
      <c r="F606" s="482"/>
      <c r="G606" s="481" t="s">
        <v>156</v>
      </c>
      <c r="H606" s="482"/>
      <c r="I606" s="483" t="s">
        <v>157</v>
      </c>
      <c r="J606" s="484"/>
    </row>
    <row r="607" spans="1:10" x14ac:dyDescent="0.25">
      <c r="A607" s="548" t="s">
        <v>158</v>
      </c>
      <c r="B607" s="548"/>
      <c r="C607" s="548"/>
      <c r="D607" s="548"/>
      <c r="E607" s="458"/>
      <c r="F607" s="458"/>
      <c r="G607" s="458"/>
      <c r="H607" s="458"/>
      <c r="I607" s="459"/>
      <c r="J607" s="459"/>
    </row>
    <row r="608" spans="1:10" x14ac:dyDescent="0.25">
      <c r="A608" s="545" t="s">
        <v>159</v>
      </c>
      <c r="B608" s="545"/>
      <c r="C608" s="545"/>
      <c r="D608" s="545"/>
      <c r="E608" s="440"/>
      <c r="F608" s="440"/>
      <c r="G608" s="441"/>
      <c r="H608" s="441"/>
      <c r="I608" s="457"/>
      <c r="J608" s="457"/>
    </row>
    <row r="609" spans="1:10" x14ac:dyDescent="0.25">
      <c r="A609" s="548" t="s">
        <v>160</v>
      </c>
      <c r="B609" s="548"/>
      <c r="C609" s="548"/>
      <c r="D609" s="548"/>
      <c r="E609" s="458"/>
      <c r="F609" s="458"/>
      <c r="G609" s="458"/>
      <c r="H609" s="458"/>
      <c r="I609" s="459"/>
      <c r="J609" s="459"/>
    </row>
    <row r="610" spans="1:10" x14ac:dyDescent="0.25">
      <c r="A610" s="545" t="s">
        <v>161</v>
      </c>
      <c r="B610" s="545"/>
      <c r="C610" s="545"/>
      <c r="D610" s="545"/>
      <c r="E610" s="440"/>
      <c r="F610" s="440"/>
      <c r="G610" s="441"/>
      <c r="H610" s="441"/>
      <c r="I610" s="457"/>
      <c r="J610" s="457"/>
    </row>
    <row r="611" spans="1:10" x14ac:dyDescent="0.25">
      <c r="A611" s="548" t="s">
        <v>162</v>
      </c>
      <c r="B611" s="548"/>
      <c r="C611" s="548"/>
      <c r="D611" s="548"/>
      <c r="E611" s="458"/>
      <c r="F611" s="458"/>
      <c r="G611" s="458"/>
      <c r="H611" s="458"/>
      <c r="I611" s="459"/>
      <c r="J611" s="459"/>
    </row>
    <row r="612" spans="1:10" x14ac:dyDescent="0.25">
      <c r="A612" s="545" t="s">
        <v>163</v>
      </c>
      <c r="B612" s="545"/>
      <c r="C612" s="545"/>
      <c r="D612" s="545"/>
      <c r="E612" s="440"/>
      <c r="F612" s="440"/>
      <c r="G612" s="441"/>
      <c r="H612" s="441"/>
      <c r="I612" s="457"/>
      <c r="J612" s="457"/>
    </row>
    <row r="613" spans="1:10" x14ac:dyDescent="0.25">
      <c r="A613" s="548" t="s">
        <v>164</v>
      </c>
      <c r="B613" s="548"/>
      <c r="C613" s="548"/>
      <c r="D613" s="548"/>
      <c r="E613" s="452"/>
      <c r="F613" s="452"/>
      <c r="G613" s="452"/>
      <c r="H613" s="452"/>
      <c r="I613" s="453"/>
      <c r="J613" s="453"/>
    </row>
    <row r="614" spans="1:10" x14ac:dyDescent="0.25">
      <c r="A614" s="437"/>
      <c r="B614" s="438"/>
      <c r="C614" s="438"/>
      <c r="D614" s="439"/>
      <c r="E614" s="440"/>
      <c r="F614" s="440"/>
      <c r="G614" s="441"/>
      <c r="H614" s="441"/>
      <c r="I614" s="441"/>
      <c r="J614" s="441"/>
    </row>
    <row r="615" spans="1:10" x14ac:dyDescent="0.25">
      <c r="A615" s="437"/>
      <c r="B615" s="438"/>
      <c r="C615" s="438"/>
      <c r="D615" s="439"/>
      <c r="E615" s="440"/>
      <c r="F615" s="440"/>
      <c r="G615" s="441"/>
      <c r="H615" s="441"/>
      <c r="I615" s="441"/>
      <c r="J615" s="441"/>
    </row>
    <row r="616" spans="1:10" x14ac:dyDescent="0.25">
      <c r="A616" s="437"/>
      <c r="B616" s="438"/>
      <c r="C616" s="438"/>
      <c r="D616" s="439"/>
      <c r="E616" s="440"/>
      <c r="F616" s="440"/>
      <c r="G616" s="441"/>
      <c r="H616" s="441"/>
      <c r="I616" s="441"/>
      <c r="J616" s="441"/>
    </row>
    <row r="617" spans="1:10" x14ac:dyDescent="0.25">
      <c r="A617" s="561" t="s">
        <v>165</v>
      </c>
      <c r="B617" s="561"/>
      <c r="C617" s="561"/>
      <c r="D617" s="561"/>
      <c r="E617" s="445">
        <f>SUM(E607:E616)</f>
        <v>0</v>
      </c>
      <c r="F617" s="445"/>
      <c r="G617" s="445">
        <f>SUM(G607:G616)</f>
        <v>0</v>
      </c>
      <c r="H617" s="445"/>
      <c r="I617" s="445">
        <f>SUM(I607:I616)</f>
        <v>0</v>
      </c>
      <c r="J617" s="445"/>
    </row>
    <row r="618" spans="1:10" x14ac:dyDescent="0.25">
      <c r="A618" s="446" t="s">
        <v>166</v>
      </c>
      <c r="B618" s="447"/>
      <c r="C618" s="447"/>
      <c r="D618" s="447"/>
      <c r="E618" s="447"/>
      <c r="F618" s="447"/>
      <c r="G618" s="447"/>
      <c r="H618" s="447"/>
      <c r="I618" s="447"/>
      <c r="J618" s="448"/>
    </row>
    <row r="619" spans="1:10" x14ac:dyDescent="0.25">
      <c r="A619" s="423" t="s">
        <v>167</v>
      </c>
      <c r="B619" s="424"/>
      <c r="C619" s="424"/>
      <c r="D619" s="424"/>
      <c r="E619" s="424"/>
      <c r="F619" s="424"/>
      <c r="G619" s="424"/>
      <c r="H619" s="424"/>
      <c r="I619" s="424"/>
      <c r="J619" s="425"/>
    </row>
    <row r="620" spans="1:10" x14ac:dyDescent="0.25">
      <c r="A620" s="423" t="s">
        <v>168</v>
      </c>
      <c r="B620" s="424"/>
      <c r="C620" s="424"/>
      <c r="D620" s="424"/>
      <c r="E620" s="424"/>
      <c r="F620" s="424"/>
      <c r="G620" s="424"/>
      <c r="H620" s="424"/>
      <c r="I620" s="424"/>
      <c r="J620" s="425"/>
    </row>
    <row r="621" spans="1:10" x14ac:dyDescent="0.25">
      <c r="A621" s="426" t="s">
        <v>169</v>
      </c>
      <c r="B621" s="427"/>
      <c r="C621" s="427"/>
      <c r="D621" s="427"/>
      <c r="E621" s="427"/>
      <c r="F621" s="427"/>
      <c r="G621" s="427"/>
      <c r="H621" s="427"/>
      <c r="I621" s="427"/>
      <c r="J621" s="428"/>
    </row>
    <row r="622" spans="1:10" x14ac:dyDescent="0.25">
      <c r="A622" s="552"/>
      <c r="B622" s="553"/>
      <c r="C622" s="553"/>
      <c r="D622" s="553"/>
      <c r="E622" s="553"/>
      <c r="F622" s="553"/>
      <c r="G622" s="553"/>
      <c r="H622" s="553"/>
      <c r="I622" s="553"/>
      <c r="J622" s="554"/>
    </row>
    <row r="623" spans="1:10" x14ac:dyDescent="0.25">
      <c r="A623" s="555"/>
      <c r="B623" s="556"/>
      <c r="C623" s="556"/>
      <c r="D623" s="556"/>
      <c r="E623" s="556"/>
      <c r="F623" s="556"/>
      <c r="G623" s="556"/>
      <c r="H623" s="556"/>
      <c r="I623" s="556"/>
      <c r="J623" s="557"/>
    </row>
    <row r="624" spans="1:10" x14ac:dyDescent="0.25">
      <c r="A624" s="555"/>
      <c r="B624" s="556"/>
      <c r="C624" s="556"/>
      <c r="D624" s="556"/>
      <c r="E624" s="556"/>
      <c r="F624" s="556"/>
      <c r="G624" s="556"/>
      <c r="H624" s="556"/>
      <c r="I624" s="556"/>
      <c r="J624" s="557"/>
    </row>
    <row r="625" spans="1:10" x14ac:dyDescent="0.25">
      <c r="A625" s="555"/>
      <c r="B625" s="556"/>
      <c r="C625" s="556"/>
      <c r="D625" s="556"/>
      <c r="E625" s="556"/>
      <c r="F625" s="556"/>
      <c r="G625" s="556"/>
      <c r="H625" s="556"/>
      <c r="I625" s="556"/>
      <c r="J625" s="557"/>
    </row>
    <row r="626" spans="1:10" x14ac:dyDescent="0.25">
      <c r="A626" s="555"/>
      <c r="B626" s="556"/>
      <c r="C626" s="556"/>
      <c r="D626" s="556"/>
      <c r="E626" s="556"/>
      <c r="F626" s="556"/>
      <c r="G626" s="556"/>
      <c r="H626" s="556"/>
      <c r="I626" s="556"/>
      <c r="J626" s="557"/>
    </row>
    <row r="627" spans="1:10" x14ac:dyDescent="0.25">
      <c r="A627" s="555"/>
      <c r="B627" s="556"/>
      <c r="C627" s="556"/>
      <c r="D627" s="556"/>
      <c r="E627" s="556"/>
      <c r="F627" s="556"/>
      <c r="G627" s="556"/>
      <c r="H627" s="556"/>
      <c r="I627" s="556"/>
      <c r="J627" s="557"/>
    </row>
    <row r="628" spans="1:10" x14ac:dyDescent="0.25">
      <c r="A628" s="555"/>
      <c r="B628" s="556"/>
      <c r="C628" s="556"/>
      <c r="D628" s="556"/>
      <c r="E628" s="556"/>
      <c r="F628" s="556"/>
      <c r="G628" s="556"/>
      <c r="H628" s="556"/>
      <c r="I628" s="556"/>
      <c r="J628" s="557"/>
    </row>
    <row r="629" spans="1:10" x14ac:dyDescent="0.25">
      <c r="A629" s="555"/>
      <c r="B629" s="556"/>
      <c r="C629" s="556"/>
      <c r="D629" s="556"/>
      <c r="E629" s="556"/>
      <c r="F629" s="556"/>
      <c r="G629" s="556"/>
      <c r="H629" s="556"/>
      <c r="I629" s="556"/>
      <c r="J629" s="557"/>
    </row>
    <row r="630" spans="1:10" x14ac:dyDescent="0.25">
      <c r="A630" s="555"/>
      <c r="B630" s="556"/>
      <c r="C630" s="556"/>
      <c r="D630" s="556"/>
      <c r="E630" s="556"/>
      <c r="F630" s="556"/>
      <c r="G630" s="556"/>
      <c r="H630" s="556"/>
      <c r="I630" s="556"/>
      <c r="J630" s="557"/>
    </row>
    <row r="631" spans="1:10" x14ac:dyDescent="0.25">
      <c r="A631" s="555"/>
      <c r="B631" s="556"/>
      <c r="C631" s="556"/>
      <c r="D631" s="556"/>
      <c r="E631" s="556"/>
      <c r="F631" s="556"/>
      <c r="G631" s="556"/>
      <c r="H631" s="556"/>
      <c r="I631" s="556"/>
      <c r="J631" s="557"/>
    </row>
    <row r="632" spans="1:10" x14ac:dyDescent="0.25">
      <c r="A632" s="555"/>
      <c r="B632" s="556"/>
      <c r="C632" s="556"/>
      <c r="D632" s="556"/>
      <c r="E632" s="556"/>
      <c r="F632" s="556"/>
      <c r="G632" s="556"/>
      <c r="H632" s="556"/>
      <c r="I632" s="556"/>
      <c r="J632" s="557"/>
    </row>
    <row r="633" spans="1:10" x14ac:dyDescent="0.25">
      <c r="A633" s="555"/>
      <c r="B633" s="556"/>
      <c r="C633" s="556"/>
      <c r="D633" s="556"/>
      <c r="E633" s="556"/>
      <c r="F633" s="556"/>
      <c r="G633" s="556"/>
      <c r="H633" s="556"/>
      <c r="I633" s="556"/>
      <c r="J633" s="557"/>
    </row>
    <row r="634" spans="1:10" x14ac:dyDescent="0.25">
      <c r="A634" s="555"/>
      <c r="B634" s="556"/>
      <c r="C634" s="556"/>
      <c r="D634" s="556"/>
      <c r="E634" s="556"/>
      <c r="F634" s="556"/>
      <c r="G634" s="556"/>
      <c r="H634" s="556"/>
      <c r="I634" s="556"/>
      <c r="J634" s="557"/>
    </row>
    <row r="635" spans="1:10" x14ac:dyDescent="0.25">
      <c r="A635" s="555"/>
      <c r="B635" s="556"/>
      <c r="C635" s="556"/>
      <c r="D635" s="556"/>
      <c r="E635" s="556"/>
      <c r="F635" s="556"/>
      <c r="G635" s="556"/>
      <c r="H635" s="556"/>
      <c r="I635" s="556"/>
      <c r="J635" s="557"/>
    </row>
    <row r="636" spans="1:10" x14ac:dyDescent="0.25">
      <c r="A636" s="555"/>
      <c r="B636" s="556"/>
      <c r="C636" s="556"/>
      <c r="D636" s="556"/>
      <c r="E636" s="556"/>
      <c r="F636" s="556"/>
      <c r="G636" s="556"/>
      <c r="H636" s="556"/>
      <c r="I636" s="556"/>
      <c r="J636" s="557"/>
    </row>
    <row r="637" spans="1:10" x14ac:dyDescent="0.25">
      <c r="A637" s="555"/>
      <c r="B637" s="556"/>
      <c r="C637" s="556"/>
      <c r="D637" s="556"/>
      <c r="E637" s="556"/>
      <c r="F637" s="556"/>
      <c r="G637" s="556"/>
      <c r="H637" s="556"/>
      <c r="I637" s="556"/>
      <c r="J637" s="557"/>
    </row>
    <row r="638" spans="1:10" x14ac:dyDescent="0.25">
      <c r="A638" s="555"/>
      <c r="B638" s="556"/>
      <c r="C638" s="556"/>
      <c r="D638" s="556"/>
      <c r="E638" s="556"/>
      <c r="F638" s="556"/>
      <c r="G638" s="556"/>
      <c r="H638" s="556"/>
      <c r="I638" s="556"/>
      <c r="J638" s="557"/>
    </row>
    <row r="639" spans="1:10" x14ac:dyDescent="0.25">
      <c r="A639" s="555"/>
      <c r="B639" s="556"/>
      <c r="C639" s="556"/>
      <c r="D639" s="556"/>
      <c r="E639" s="556"/>
      <c r="F639" s="556"/>
      <c r="G639" s="556"/>
      <c r="H639" s="556"/>
      <c r="I639" s="556"/>
      <c r="J639" s="557"/>
    </row>
    <row r="640" spans="1:10" x14ac:dyDescent="0.25">
      <c r="A640" s="555"/>
      <c r="B640" s="556"/>
      <c r="C640" s="556"/>
      <c r="D640" s="556"/>
      <c r="E640" s="556"/>
      <c r="F640" s="556"/>
      <c r="G640" s="556"/>
      <c r="H640" s="556"/>
      <c r="I640" s="556"/>
      <c r="J640" s="557"/>
    </row>
    <row r="641" spans="1:10" x14ac:dyDescent="0.25">
      <c r="A641" s="555"/>
      <c r="B641" s="556"/>
      <c r="C641" s="556"/>
      <c r="D641" s="556"/>
      <c r="E641" s="556"/>
      <c r="F641" s="556"/>
      <c r="G641" s="556"/>
      <c r="H641" s="556"/>
      <c r="I641" s="556"/>
      <c r="J641" s="557"/>
    </row>
    <row r="642" spans="1:10" x14ac:dyDescent="0.25">
      <c r="A642" s="555"/>
      <c r="B642" s="556"/>
      <c r="C642" s="556"/>
      <c r="D642" s="556"/>
      <c r="E642" s="556"/>
      <c r="F642" s="556"/>
      <c r="G642" s="556"/>
      <c r="H642" s="556"/>
      <c r="I642" s="556"/>
      <c r="J642" s="557"/>
    </row>
    <row r="643" spans="1:10" x14ac:dyDescent="0.25">
      <c r="A643" s="555"/>
      <c r="B643" s="556"/>
      <c r="C643" s="556"/>
      <c r="D643" s="556"/>
      <c r="E643" s="556"/>
      <c r="F643" s="556"/>
      <c r="G643" s="556"/>
      <c r="H643" s="556"/>
      <c r="I643" s="556"/>
      <c r="J643" s="557"/>
    </row>
    <row r="644" spans="1:10" x14ac:dyDescent="0.25">
      <c r="A644" s="555"/>
      <c r="B644" s="556"/>
      <c r="C644" s="556"/>
      <c r="D644" s="556"/>
      <c r="E644" s="556"/>
      <c r="F644" s="556"/>
      <c r="G644" s="556"/>
      <c r="H644" s="556"/>
      <c r="I644" s="556"/>
      <c r="J644" s="557"/>
    </row>
    <row r="645" spans="1:10" x14ac:dyDescent="0.25">
      <c r="A645" s="555"/>
      <c r="B645" s="556"/>
      <c r="C645" s="556"/>
      <c r="D645" s="556"/>
      <c r="E645" s="556"/>
      <c r="F645" s="556"/>
      <c r="G645" s="556"/>
      <c r="H645" s="556"/>
      <c r="I645" s="556"/>
      <c r="J645" s="557"/>
    </row>
    <row r="646" spans="1:10" x14ac:dyDescent="0.25">
      <c r="A646" s="555"/>
      <c r="B646" s="556"/>
      <c r="C646" s="556"/>
      <c r="D646" s="556"/>
      <c r="E646" s="556"/>
      <c r="F646" s="556"/>
      <c r="G646" s="556"/>
      <c r="H646" s="556"/>
      <c r="I646" s="556"/>
      <c r="J646" s="557"/>
    </row>
    <row r="647" spans="1:10" x14ac:dyDescent="0.25">
      <c r="A647" s="555"/>
      <c r="B647" s="556"/>
      <c r="C647" s="556"/>
      <c r="D647" s="556"/>
      <c r="E647" s="556"/>
      <c r="F647" s="556"/>
      <c r="G647" s="556"/>
      <c r="H647" s="556"/>
      <c r="I647" s="556"/>
      <c r="J647" s="557"/>
    </row>
    <row r="648" spans="1:10" x14ac:dyDescent="0.25">
      <c r="A648" s="555"/>
      <c r="B648" s="556"/>
      <c r="C648" s="556"/>
      <c r="D648" s="556"/>
      <c r="E648" s="556"/>
      <c r="F648" s="556"/>
      <c r="G648" s="556"/>
      <c r="H648" s="556"/>
      <c r="I648" s="556"/>
      <c r="J648" s="557"/>
    </row>
    <row r="649" spans="1:10" x14ac:dyDescent="0.25">
      <c r="A649" s="555"/>
      <c r="B649" s="556"/>
      <c r="C649" s="556"/>
      <c r="D649" s="556"/>
      <c r="E649" s="556"/>
      <c r="F649" s="556"/>
      <c r="G649" s="556"/>
      <c r="H649" s="556"/>
      <c r="I649" s="556"/>
      <c r="J649" s="557"/>
    </row>
    <row r="650" spans="1:10" x14ac:dyDescent="0.25">
      <c r="A650" s="555"/>
      <c r="B650" s="556"/>
      <c r="C650" s="556"/>
      <c r="D650" s="556"/>
      <c r="E650" s="556"/>
      <c r="F650" s="556"/>
      <c r="G650" s="556"/>
      <c r="H650" s="556"/>
      <c r="I650" s="556"/>
      <c r="J650" s="557"/>
    </row>
    <row r="651" spans="1:10" x14ac:dyDescent="0.25">
      <c r="A651" s="555"/>
      <c r="B651" s="556"/>
      <c r="C651" s="556"/>
      <c r="D651" s="556"/>
      <c r="E651" s="556"/>
      <c r="F651" s="556"/>
      <c r="G651" s="556"/>
      <c r="H651" s="556"/>
      <c r="I651" s="556"/>
      <c r="J651" s="557"/>
    </row>
    <row r="652" spans="1:10" x14ac:dyDescent="0.25">
      <c r="A652" s="558"/>
      <c r="B652" s="559"/>
      <c r="C652" s="559"/>
      <c r="D652" s="559"/>
      <c r="E652" s="559"/>
      <c r="F652" s="559"/>
      <c r="G652" s="559"/>
      <c r="H652" s="559"/>
      <c r="I652" s="559"/>
      <c r="J652" s="560"/>
    </row>
    <row r="653" spans="1:10" x14ac:dyDescent="0.25">
      <c r="A653" s="172"/>
      <c r="B653" s="172"/>
      <c r="C653" s="172"/>
      <c r="D653" s="172"/>
      <c r="E653" s="172"/>
      <c r="F653" s="172"/>
      <c r="G653" s="172"/>
      <c r="H653" s="172"/>
      <c r="I653" s="172"/>
      <c r="J653" s="172"/>
    </row>
    <row r="654" spans="1:10" ht="15.6" x14ac:dyDescent="0.3">
      <c r="A654" s="372" t="s">
        <v>76</v>
      </c>
      <c r="B654" s="373"/>
      <c r="C654" s="373"/>
      <c r="D654" s="373"/>
      <c r="E654" s="373"/>
      <c r="F654" s="373"/>
      <c r="G654" s="373"/>
      <c r="H654" s="370" t="str">
        <f>'CONTACT INFORMATION'!$A$24</f>
        <v>Ventura</v>
      </c>
      <c r="I654" s="370"/>
      <c r="J654" s="371"/>
    </row>
    <row r="655" spans="1:10" ht="15.6" x14ac:dyDescent="0.3">
      <c r="A655" s="51"/>
      <c r="B655" s="51"/>
      <c r="C655" s="51"/>
      <c r="D655" s="51"/>
      <c r="E655" s="51"/>
      <c r="F655" s="51"/>
      <c r="G655" s="51"/>
      <c r="H655" s="51"/>
      <c r="I655" s="51"/>
      <c r="J655" s="51"/>
    </row>
    <row r="656" spans="1:10" ht="13.8" x14ac:dyDescent="0.25">
      <c r="A656" s="460" t="s">
        <v>214</v>
      </c>
      <c r="B656" s="461"/>
      <c r="C656" s="461"/>
      <c r="D656" s="461"/>
      <c r="E656" s="461"/>
      <c r="F656" s="461"/>
      <c r="G656" s="461"/>
      <c r="H656" s="461"/>
      <c r="I656" s="461"/>
      <c r="J656" s="462"/>
    </row>
    <row r="657" spans="1:10" x14ac:dyDescent="0.25">
      <c r="A657" s="463" t="s">
        <v>151</v>
      </c>
      <c r="B657" s="464"/>
      <c r="C657" s="464"/>
      <c r="D657" s="465"/>
      <c r="E657" s="466"/>
      <c r="F657" s="467"/>
      <c r="G657" s="467"/>
      <c r="H657" s="467"/>
      <c r="I657" s="467"/>
      <c r="J657" s="468"/>
    </row>
    <row r="658" spans="1:10" x14ac:dyDescent="0.25">
      <c r="A658" s="472" t="s">
        <v>181</v>
      </c>
      <c r="B658" s="473"/>
      <c r="C658" s="473"/>
      <c r="D658" s="474"/>
      <c r="E658" s="469"/>
      <c r="F658" s="470"/>
      <c r="G658" s="470"/>
      <c r="H658" s="470"/>
      <c r="I658" s="470"/>
      <c r="J658" s="471"/>
    </row>
    <row r="659" spans="1:10" x14ac:dyDescent="0.25">
      <c r="A659" s="543" t="s">
        <v>182</v>
      </c>
      <c r="B659" s="544"/>
      <c r="C659" s="544"/>
      <c r="D659" s="544"/>
      <c r="E659" s="478"/>
      <c r="F659" s="479"/>
      <c r="G659" s="479"/>
      <c r="H659" s="479"/>
      <c r="I659" s="479"/>
      <c r="J659" s="480"/>
    </row>
    <row r="660" spans="1:10" x14ac:dyDescent="0.25">
      <c r="A660" s="52"/>
      <c r="B660" s="53"/>
      <c r="C660" s="53"/>
      <c r="D660" s="53"/>
      <c r="E660" s="481" t="s">
        <v>155</v>
      </c>
      <c r="F660" s="482"/>
      <c r="G660" s="481" t="s">
        <v>156</v>
      </c>
      <c r="H660" s="482"/>
      <c r="I660" s="483" t="s">
        <v>157</v>
      </c>
      <c r="J660" s="484"/>
    </row>
    <row r="661" spans="1:10" x14ac:dyDescent="0.25">
      <c r="A661" s="548" t="s">
        <v>158</v>
      </c>
      <c r="B661" s="548"/>
      <c r="C661" s="548"/>
      <c r="D661" s="548"/>
      <c r="E661" s="458"/>
      <c r="F661" s="458"/>
      <c r="G661" s="458"/>
      <c r="H661" s="458"/>
      <c r="I661" s="459"/>
      <c r="J661" s="459"/>
    </row>
    <row r="662" spans="1:10" x14ac:dyDescent="0.25">
      <c r="A662" s="545" t="s">
        <v>159</v>
      </c>
      <c r="B662" s="545"/>
      <c r="C662" s="545"/>
      <c r="D662" s="545"/>
      <c r="E662" s="440"/>
      <c r="F662" s="440"/>
      <c r="G662" s="441"/>
      <c r="H662" s="441"/>
      <c r="I662" s="457"/>
      <c r="J662" s="457"/>
    </row>
    <row r="663" spans="1:10" x14ac:dyDescent="0.25">
      <c r="A663" s="548" t="s">
        <v>160</v>
      </c>
      <c r="B663" s="548"/>
      <c r="C663" s="548"/>
      <c r="D663" s="548"/>
      <c r="E663" s="458"/>
      <c r="F663" s="458"/>
      <c r="G663" s="458"/>
      <c r="H663" s="458"/>
      <c r="I663" s="459"/>
      <c r="J663" s="459"/>
    </row>
    <row r="664" spans="1:10" x14ac:dyDescent="0.25">
      <c r="A664" s="545" t="s">
        <v>161</v>
      </c>
      <c r="B664" s="545"/>
      <c r="C664" s="545"/>
      <c r="D664" s="545"/>
      <c r="E664" s="440"/>
      <c r="F664" s="440"/>
      <c r="G664" s="441"/>
      <c r="H664" s="441"/>
      <c r="I664" s="457"/>
      <c r="J664" s="457"/>
    </row>
    <row r="665" spans="1:10" x14ac:dyDescent="0.25">
      <c r="A665" s="548" t="s">
        <v>162</v>
      </c>
      <c r="B665" s="548"/>
      <c r="C665" s="548"/>
      <c r="D665" s="548"/>
      <c r="E665" s="458"/>
      <c r="F665" s="458"/>
      <c r="G665" s="458"/>
      <c r="H665" s="458"/>
      <c r="I665" s="459"/>
      <c r="J665" s="459"/>
    </row>
    <row r="666" spans="1:10" x14ac:dyDescent="0.25">
      <c r="A666" s="545" t="s">
        <v>163</v>
      </c>
      <c r="B666" s="545"/>
      <c r="C666" s="545"/>
      <c r="D666" s="545"/>
      <c r="E666" s="440"/>
      <c r="F666" s="440"/>
      <c r="G666" s="441"/>
      <c r="H666" s="441"/>
      <c r="I666" s="457"/>
      <c r="J666" s="457"/>
    </row>
    <row r="667" spans="1:10" x14ac:dyDescent="0.25">
      <c r="A667" s="548" t="s">
        <v>164</v>
      </c>
      <c r="B667" s="548"/>
      <c r="C667" s="548"/>
      <c r="D667" s="548"/>
      <c r="E667" s="452"/>
      <c r="F667" s="452"/>
      <c r="G667" s="452"/>
      <c r="H667" s="452"/>
      <c r="I667" s="453"/>
      <c r="J667" s="453"/>
    </row>
    <row r="668" spans="1:10" x14ac:dyDescent="0.25">
      <c r="A668" s="437"/>
      <c r="B668" s="438"/>
      <c r="C668" s="438"/>
      <c r="D668" s="439"/>
      <c r="E668" s="440"/>
      <c r="F668" s="440"/>
      <c r="G668" s="441"/>
      <c r="H668" s="441"/>
      <c r="I668" s="441"/>
      <c r="J668" s="441"/>
    </row>
    <row r="669" spans="1:10" x14ac:dyDescent="0.25">
      <c r="A669" s="437"/>
      <c r="B669" s="438"/>
      <c r="C669" s="438"/>
      <c r="D669" s="439"/>
      <c r="E669" s="440"/>
      <c r="F669" s="440"/>
      <c r="G669" s="441"/>
      <c r="H669" s="441"/>
      <c r="I669" s="441"/>
      <c r="J669" s="441"/>
    </row>
    <row r="670" spans="1:10" x14ac:dyDescent="0.25">
      <c r="A670" s="437"/>
      <c r="B670" s="438"/>
      <c r="C670" s="438"/>
      <c r="D670" s="439"/>
      <c r="E670" s="440"/>
      <c r="F670" s="440"/>
      <c r="G670" s="441"/>
      <c r="H670" s="441"/>
      <c r="I670" s="441"/>
      <c r="J670" s="441"/>
    </row>
    <row r="671" spans="1:10" x14ac:dyDescent="0.25">
      <c r="A671" s="561" t="s">
        <v>165</v>
      </c>
      <c r="B671" s="561"/>
      <c r="C671" s="561"/>
      <c r="D671" s="561"/>
      <c r="E671" s="445">
        <f>SUM(E661:E670)</f>
        <v>0</v>
      </c>
      <c r="F671" s="445"/>
      <c r="G671" s="445">
        <f>SUM(G661:G670)</f>
        <v>0</v>
      </c>
      <c r="H671" s="445"/>
      <c r="I671" s="445">
        <f>SUM(I661:I670)</f>
        <v>0</v>
      </c>
      <c r="J671" s="445"/>
    </row>
    <row r="672" spans="1:10" x14ac:dyDescent="0.25">
      <c r="A672" s="446" t="s">
        <v>166</v>
      </c>
      <c r="B672" s="447"/>
      <c r="C672" s="447"/>
      <c r="D672" s="447"/>
      <c r="E672" s="447"/>
      <c r="F672" s="447"/>
      <c r="G672" s="447"/>
      <c r="H672" s="447"/>
      <c r="I672" s="447"/>
      <c r="J672" s="448"/>
    </row>
    <row r="673" spans="1:10" x14ac:dyDescent="0.25">
      <c r="A673" s="423" t="s">
        <v>167</v>
      </c>
      <c r="B673" s="424"/>
      <c r="C673" s="424"/>
      <c r="D673" s="424"/>
      <c r="E673" s="424"/>
      <c r="F673" s="424"/>
      <c r="G673" s="424"/>
      <c r="H673" s="424"/>
      <c r="I673" s="424"/>
      <c r="J673" s="425"/>
    </row>
    <row r="674" spans="1:10" x14ac:dyDescent="0.25">
      <c r="A674" s="423" t="s">
        <v>168</v>
      </c>
      <c r="B674" s="424"/>
      <c r="C674" s="424"/>
      <c r="D674" s="424"/>
      <c r="E674" s="424"/>
      <c r="F674" s="424"/>
      <c r="G674" s="424"/>
      <c r="H674" s="424"/>
      <c r="I674" s="424"/>
      <c r="J674" s="425"/>
    </row>
    <row r="675" spans="1:10" x14ac:dyDescent="0.25">
      <c r="A675" s="426" t="s">
        <v>169</v>
      </c>
      <c r="B675" s="427"/>
      <c r="C675" s="427"/>
      <c r="D675" s="427"/>
      <c r="E675" s="427"/>
      <c r="F675" s="427"/>
      <c r="G675" s="427"/>
      <c r="H675" s="427"/>
      <c r="I675" s="427"/>
      <c r="J675" s="428"/>
    </row>
    <row r="676" spans="1:10" x14ac:dyDescent="0.25">
      <c r="A676" s="552"/>
      <c r="B676" s="553"/>
      <c r="C676" s="553"/>
      <c r="D676" s="553"/>
      <c r="E676" s="553"/>
      <c r="F676" s="553"/>
      <c r="G676" s="553"/>
      <c r="H676" s="553"/>
      <c r="I676" s="553"/>
      <c r="J676" s="554"/>
    </row>
    <row r="677" spans="1:10" x14ac:dyDescent="0.25">
      <c r="A677" s="555"/>
      <c r="B677" s="556"/>
      <c r="C677" s="556"/>
      <c r="D677" s="556"/>
      <c r="E677" s="556"/>
      <c r="F677" s="556"/>
      <c r="G677" s="556"/>
      <c r="H677" s="556"/>
      <c r="I677" s="556"/>
      <c r="J677" s="557"/>
    </row>
    <row r="678" spans="1:10" x14ac:dyDescent="0.25">
      <c r="A678" s="555"/>
      <c r="B678" s="556"/>
      <c r="C678" s="556"/>
      <c r="D678" s="556"/>
      <c r="E678" s="556"/>
      <c r="F678" s="556"/>
      <c r="G678" s="556"/>
      <c r="H678" s="556"/>
      <c r="I678" s="556"/>
      <c r="J678" s="557"/>
    </row>
    <row r="679" spans="1:10" x14ac:dyDescent="0.25">
      <c r="A679" s="555"/>
      <c r="B679" s="556"/>
      <c r="C679" s="556"/>
      <c r="D679" s="556"/>
      <c r="E679" s="556"/>
      <c r="F679" s="556"/>
      <c r="G679" s="556"/>
      <c r="H679" s="556"/>
      <c r="I679" s="556"/>
      <c r="J679" s="557"/>
    </row>
    <row r="680" spans="1:10" x14ac:dyDescent="0.25">
      <c r="A680" s="555"/>
      <c r="B680" s="556"/>
      <c r="C680" s="556"/>
      <c r="D680" s="556"/>
      <c r="E680" s="556"/>
      <c r="F680" s="556"/>
      <c r="G680" s="556"/>
      <c r="H680" s="556"/>
      <c r="I680" s="556"/>
      <c r="J680" s="557"/>
    </row>
    <row r="681" spans="1:10" x14ac:dyDescent="0.25">
      <c r="A681" s="555"/>
      <c r="B681" s="556"/>
      <c r="C681" s="556"/>
      <c r="D681" s="556"/>
      <c r="E681" s="556"/>
      <c r="F681" s="556"/>
      <c r="G681" s="556"/>
      <c r="H681" s="556"/>
      <c r="I681" s="556"/>
      <c r="J681" s="557"/>
    </row>
    <row r="682" spans="1:10" x14ac:dyDescent="0.25">
      <c r="A682" s="555"/>
      <c r="B682" s="556"/>
      <c r="C682" s="556"/>
      <c r="D682" s="556"/>
      <c r="E682" s="556"/>
      <c r="F682" s="556"/>
      <c r="G682" s="556"/>
      <c r="H682" s="556"/>
      <c r="I682" s="556"/>
      <c r="J682" s="557"/>
    </row>
    <row r="683" spans="1:10" x14ac:dyDescent="0.25">
      <c r="A683" s="555"/>
      <c r="B683" s="556"/>
      <c r="C683" s="556"/>
      <c r="D683" s="556"/>
      <c r="E683" s="556"/>
      <c r="F683" s="556"/>
      <c r="G683" s="556"/>
      <c r="H683" s="556"/>
      <c r="I683" s="556"/>
      <c r="J683" s="557"/>
    </row>
    <row r="684" spans="1:10" x14ac:dyDescent="0.25">
      <c r="A684" s="555"/>
      <c r="B684" s="556"/>
      <c r="C684" s="556"/>
      <c r="D684" s="556"/>
      <c r="E684" s="556"/>
      <c r="F684" s="556"/>
      <c r="G684" s="556"/>
      <c r="H684" s="556"/>
      <c r="I684" s="556"/>
      <c r="J684" s="557"/>
    </row>
    <row r="685" spans="1:10" x14ac:dyDescent="0.25">
      <c r="A685" s="555"/>
      <c r="B685" s="556"/>
      <c r="C685" s="556"/>
      <c r="D685" s="556"/>
      <c r="E685" s="556"/>
      <c r="F685" s="556"/>
      <c r="G685" s="556"/>
      <c r="H685" s="556"/>
      <c r="I685" s="556"/>
      <c r="J685" s="557"/>
    </row>
    <row r="686" spans="1:10" x14ac:dyDescent="0.25">
      <c r="A686" s="555"/>
      <c r="B686" s="556"/>
      <c r="C686" s="556"/>
      <c r="D686" s="556"/>
      <c r="E686" s="556"/>
      <c r="F686" s="556"/>
      <c r="G686" s="556"/>
      <c r="H686" s="556"/>
      <c r="I686" s="556"/>
      <c r="J686" s="557"/>
    </row>
    <row r="687" spans="1:10" x14ac:dyDescent="0.25">
      <c r="A687" s="555"/>
      <c r="B687" s="556"/>
      <c r="C687" s="556"/>
      <c r="D687" s="556"/>
      <c r="E687" s="556"/>
      <c r="F687" s="556"/>
      <c r="G687" s="556"/>
      <c r="H687" s="556"/>
      <c r="I687" s="556"/>
      <c r="J687" s="557"/>
    </row>
    <row r="688" spans="1:10" x14ac:dyDescent="0.25">
      <c r="A688" s="555"/>
      <c r="B688" s="556"/>
      <c r="C688" s="556"/>
      <c r="D688" s="556"/>
      <c r="E688" s="556"/>
      <c r="F688" s="556"/>
      <c r="G688" s="556"/>
      <c r="H688" s="556"/>
      <c r="I688" s="556"/>
      <c r="J688" s="557"/>
    </row>
    <row r="689" spans="1:10" x14ac:dyDescent="0.25">
      <c r="A689" s="555"/>
      <c r="B689" s="556"/>
      <c r="C689" s="556"/>
      <c r="D689" s="556"/>
      <c r="E689" s="556"/>
      <c r="F689" s="556"/>
      <c r="G689" s="556"/>
      <c r="H689" s="556"/>
      <c r="I689" s="556"/>
      <c r="J689" s="557"/>
    </row>
    <row r="690" spans="1:10" x14ac:dyDescent="0.25">
      <c r="A690" s="555"/>
      <c r="B690" s="556"/>
      <c r="C690" s="556"/>
      <c r="D690" s="556"/>
      <c r="E690" s="556"/>
      <c r="F690" s="556"/>
      <c r="G690" s="556"/>
      <c r="H690" s="556"/>
      <c r="I690" s="556"/>
      <c r="J690" s="557"/>
    </row>
    <row r="691" spans="1:10" x14ac:dyDescent="0.25">
      <c r="A691" s="555"/>
      <c r="B691" s="556"/>
      <c r="C691" s="556"/>
      <c r="D691" s="556"/>
      <c r="E691" s="556"/>
      <c r="F691" s="556"/>
      <c r="G691" s="556"/>
      <c r="H691" s="556"/>
      <c r="I691" s="556"/>
      <c r="J691" s="557"/>
    </row>
    <row r="692" spans="1:10" x14ac:dyDescent="0.25">
      <c r="A692" s="555"/>
      <c r="B692" s="556"/>
      <c r="C692" s="556"/>
      <c r="D692" s="556"/>
      <c r="E692" s="556"/>
      <c r="F692" s="556"/>
      <c r="G692" s="556"/>
      <c r="H692" s="556"/>
      <c r="I692" s="556"/>
      <c r="J692" s="557"/>
    </row>
    <row r="693" spans="1:10" x14ac:dyDescent="0.25">
      <c r="A693" s="555"/>
      <c r="B693" s="556"/>
      <c r="C693" s="556"/>
      <c r="D693" s="556"/>
      <c r="E693" s="556"/>
      <c r="F693" s="556"/>
      <c r="G693" s="556"/>
      <c r="H693" s="556"/>
      <c r="I693" s="556"/>
      <c r="J693" s="557"/>
    </row>
    <row r="694" spans="1:10" x14ac:dyDescent="0.25">
      <c r="A694" s="555"/>
      <c r="B694" s="556"/>
      <c r="C694" s="556"/>
      <c r="D694" s="556"/>
      <c r="E694" s="556"/>
      <c r="F694" s="556"/>
      <c r="G694" s="556"/>
      <c r="H694" s="556"/>
      <c r="I694" s="556"/>
      <c r="J694" s="557"/>
    </row>
    <row r="695" spans="1:10" x14ac:dyDescent="0.25">
      <c r="A695" s="555"/>
      <c r="B695" s="556"/>
      <c r="C695" s="556"/>
      <c r="D695" s="556"/>
      <c r="E695" s="556"/>
      <c r="F695" s="556"/>
      <c r="G695" s="556"/>
      <c r="H695" s="556"/>
      <c r="I695" s="556"/>
      <c r="J695" s="557"/>
    </row>
    <row r="696" spans="1:10" x14ac:dyDescent="0.25">
      <c r="A696" s="555"/>
      <c r="B696" s="556"/>
      <c r="C696" s="556"/>
      <c r="D696" s="556"/>
      <c r="E696" s="556"/>
      <c r="F696" s="556"/>
      <c r="G696" s="556"/>
      <c r="H696" s="556"/>
      <c r="I696" s="556"/>
      <c r="J696" s="557"/>
    </row>
    <row r="697" spans="1:10" x14ac:dyDescent="0.25">
      <c r="A697" s="555"/>
      <c r="B697" s="556"/>
      <c r="C697" s="556"/>
      <c r="D697" s="556"/>
      <c r="E697" s="556"/>
      <c r="F697" s="556"/>
      <c r="G697" s="556"/>
      <c r="H697" s="556"/>
      <c r="I697" s="556"/>
      <c r="J697" s="557"/>
    </row>
    <row r="698" spans="1:10" x14ac:dyDescent="0.25">
      <c r="A698" s="555"/>
      <c r="B698" s="556"/>
      <c r="C698" s="556"/>
      <c r="D698" s="556"/>
      <c r="E698" s="556"/>
      <c r="F698" s="556"/>
      <c r="G698" s="556"/>
      <c r="H698" s="556"/>
      <c r="I698" s="556"/>
      <c r="J698" s="557"/>
    </row>
    <row r="699" spans="1:10" x14ac:dyDescent="0.25">
      <c r="A699" s="555"/>
      <c r="B699" s="556"/>
      <c r="C699" s="556"/>
      <c r="D699" s="556"/>
      <c r="E699" s="556"/>
      <c r="F699" s="556"/>
      <c r="G699" s="556"/>
      <c r="H699" s="556"/>
      <c r="I699" s="556"/>
      <c r="J699" s="557"/>
    </row>
    <row r="700" spans="1:10" x14ac:dyDescent="0.25">
      <c r="A700" s="555"/>
      <c r="B700" s="556"/>
      <c r="C700" s="556"/>
      <c r="D700" s="556"/>
      <c r="E700" s="556"/>
      <c r="F700" s="556"/>
      <c r="G700" s="556"/>
      <c r="H700" s="556"/>
      <c r="I700" s="556"/>
      <c r="J700" s="557"/>
    </row>
    <row r="701" spans="1:10" x14ac:dyDescent="0.25">
      <c r="A701" s="555"/>
      <c r="B701" s="556"/>
      <c r="C701" s="556"/>
      <c r="D701" s="556"/>
      <c r="E701" s="556"/>
      <c r="F701" s="556"/>
      <c r="G701" s="556"/>
      <c r="H701" s="556"/>
      <c r="I701" s="556"/>
      <c r="J701" s="557"/>
    </row>
    <row r="702" spans="1:10" x14ac:dyDescent="0.25">
      <c r="A702" s="555"/>
      <c r="B702" s="556"/>
      <c r="C702" s="556"/>
      <c r="D702" s="556"/>
      <c r="E702" s="556"/>
      <c r="F702" s="556"/>
      <c r="G702" s="556"/>
      <c r="H702" s="556"/>
      <c r="I702" s="556"/>
      <c r="J702" s="557"/>
    </row>
    <row r="703" spans="1:10" x14ac:dyDescent="0.25">
      <c r="A703" s="555"/>
      <c r="B703" s="556"/>
      <c r="C703" s="556"/>
      <c r="D703" s="556"/>
      <c r="E703" s="556"/>
      <c r="F703" s="556"/>
      <c r="G703" s="556"/>
      <c r="H703" s="556"/>
      <c r="I703" s="556"/>
      <c r="J703" s="557"/>
    </row>
    <row r="704" spans="1:10" x14ac:dyDescent="0.25">
      <c r="A704" s="555"/>
      <c r="B704" s="556"/>
      <c r="C704" s="556"/>
      <c r="D704" s="556"/>
      <c r="E704" s="556"/>
      <c r="F704" s="556"/>
      <c r="G704" s="556"/>
      <c r="H704" s="556"/>
      <c r="I704" s="556"/>
      <c r="J704" s="557"/>
    </row>
    <row r="705" spans="1:10" x14ac:dyDescent="0.25">
      <c r="A705" s="555"/>
      <c r="B705" s="556"/>
      <c r="C705" s="556"/>
      <c r="D705" s="556"/>
      <c r="E705" s="556"/>
      <c r="F705" s="556"/>
      <c r="G705" s="556"/>
      <c r="H705" s="556"/>
      <c r="I705" s="556"/>
      <c r="J705" s="557"/>
    </row>
    <row r="706" spans="1:10" x14ac:dyDescent="0.25">
      <c r="A706" s="558"/>
      <c r="B706" s="559"/>
      <c r="C706" s="559"/>
      <c r="D706" s="559"/>
      <c r="E706" s="559"/>
      <c r="F706" s="559"/>
      <c r="G706" s="559"/>
      <c r="H706" s="559"/>
      <c r="I706" s="559"/>
      <c r="J706" s="560"/>
    </row>
    <row r="707" spans="1:10" x14ac:dyDescent="0.25">
      <c r="A707" s="40"/>
      <c r="B707" s="40"/>
      <c r="C707" s="40"/>
      <c r="D707" s="40"/>
      <c r="E707" s="40"/>
      <c r="F707" s="40"/>
      <c r="G707" s="40"/>
      <c r="H707" s="40"/>
      <c r="I707" s="40"/>
      <c r="J707" s="40"/>
    </row>
    <row r="708" spans="1:10" ht="15.6" x14ac:dyDescent="0.3">
      <c r="A708" s="372" t="s">
        <v>76</v>
      </c>
      <c r="B708" s="373"/>
      <c r="C708" s="373"/>
      <c r="D708" s="373"/>
      <c r="E708" s="373"/>
      <c r="F708" s="373"/>
      <c r="G708" s="373"/>
      <c r="H708" s="370" t="str">
        <f>'CONTACT INFORMATION'!$A$24</f>
        <v>Ventura</v>
      </c>
      <c r="I708" s="370"/>
      <c r="J708" s="371"/>
    </row>
    <row r="709" spans="1:10" ht="15.6" x14ac:dyDescent="0.3">
      <c r="A709" s="51"/>
      <c r="B709" s="51"/>
      <c r="C709" s="51"/>
      <c r="D709" s="51"/>
      <c r="E709" s="51"/>
      <c r="F709" s="51"/>
      <c r="G709" s="51"/>
      <c r="H709" s="51"/>
      <c r="I709" s="51"/>
      <c r="J709" s="51"/>
    </row>
    <row r="710" spans="1:10" ht="13.8" x14ac:dyDescent="0.25">
      <c r="A710" s="460" t="s">
        <v>215</v>
      </c>
      <c r="B710" s="461"/>
      <c r="C710" s="461"/>
      <c r="D710" s="461"/>
      <c r="E710" s="461"/>
      <c r="F710" s="461"/>
      <c r="G710" s="461"/>
      <c r="H710" s="461"/>
      <c r="I710" s="461"/>
      <c r="J710" s="462"/>
    </row>
    <row r="711" spans="1:10" x14ac:dyDescent="0.25">
      <c r="A711" s="463" t="s">
        <v>151</v>
      </c>
      <c r="B711" s="464"/>
      <c r="C711" s="464"/>
      <c r="D711" s="465"/>
      <c r="E711" s="466"/>
      <c r="F711" s="467"/>
      <c r="G711" s="467"/>
      <c r="H711" s="467"/>
      <c r="I711" s="467"/>
      <c r="J711" s="468"/>
    </row>
    <row r="712" spans="1:10" x14ac:dyDescent="0.25">
      <c r="A712" s="472" t="s">
        <v>181</v>
      </c>
      <c r="B712" s="473"/>
      <c r="C712" s="473"/>
      <c r="D712" s="474"/>
      <c r="E712" s="469"/>
      <c r="F712" s="470"/>
      <c r="G712" s="470"/>
      <c r="H712" s="470"/>
      <c r="I712" s="470"/>
      <c r="J712" s="471"/>
    </row>
    <row r="713" spans="1:10" x14ac:dyDescent="0.25">
      <c r="A713" s="543" t="s">
        <v>182</v>
      </c>
      <c r="B713" s="544"/>
      <c r="C713" s="544"/>
      <c r="D713" s="544"/>
      <c r="E713" s="478"/>
      <c r="F713" s="479"/>
      <c r="G713" s="479"/>
      <c r="H713" s="479"/>
      <c r="I713" s="479"/>
      <c r="J713" s="480"/>
    </row>
    <row r="714" spans="1:10" x14ac:dyDescent="0.25">
      <c r="A714" s="52"/>
      <c r="B714" s="53"/>
      <c r="C714" s="53"/>
      <c r="D714" s="53"/>
      <c r="E714" s="481" t="s">
        <v>155</v>
      </c>
      <c r="F714" s="482"/>
      <c r="G714" s="481" t="s">
        <v>156</v>
      </c>
      <c r="H714" s="482"/>
      <c r="I714" s="483" t="s">
        <v>157</v>
      </c>
      <c r="J714" s="484"/>
    </row>
    <row r="715" spans="1:10" x14ac:dyDescent="0.25">
      <c r="A715" s="548" t="s">
        <v>158</v>
      </c>
      <c r="B715" s="548"/>
      <c r="C715" s="548"/>
      <c r="D715" s="548"/>
      <c r="E715" s="458"/>
      <c r="F715" s="458"/>
      <c r="G715" s="458"/>
      <c r="H715" s="458"/>
      <c r="I715" s="459"/>
      <c r="J715" s="459"/>
    </row>
    <row r="716" spans="1:10" x14ac:dyDescent="0.25">
      <c r="A716" s="545" t="s">
        <v>159</v>
      </c>
      <c r="B716" s="545"/>
      <c r="C716" s="545"/>
      <c r="D716" s="545"/>
      <c r="E716" s="440"/>
      <c r="F716" s="440"/>
      <c r="G716" s="441"/>
      <c r="H716" s="441"/>
      <c r="I716" s="457"/>
      <c r="J716" s="457"/>
    </row>
    <row r="717" spans="1:10" x14ac:dyDescent="0.25">
      <c r="A717" s="548" t="s">
        <v>160</v>
      </c>
      <c r="B717" s="548"/>
      <c r="C717" s="548"/>
      <c r="D717" s="548"/>
      <c r="E717" s="458"/>
      <c r="F717" s="458"/>
      <c r="G717" s="458"/>
      <c r="H717" s="458"/>
      <c r="I717" s="459"/>
      <c r="J717" s="459"/>
    </row>
    <row r="718" spans="1:10" x14ac:dyDescent="0.25">
      <c r="A718" s="545" t="s">
        <v>161</v>
      </c>
      <c r="B718" s="545"/>
      <c r="C718" s="545"/>
      <c r="D718" s="545"/>
      <c r="E718" s="440"/>
      <c r="F718" s="440"/>
      <c r="G718" s="441"/>
      <c r="H718" s="441"/>
      <c r="I718" s="457"/>
      <c r="J718" s="457"/>
    </row>
    <row r="719" spans="1:10" x14ac:dyDescent="0.25">
      <c r="A719" s="548" t="s">
        <v>162</v>
      </c>
      <c r="B719" s="548"/>
      <c r="C719" s="548"/>
      <c r="D719" s="548"/>
      <c r="E719" s="458"/>
      <c r="F719" s="458"/>
      <c r="G719" s="458"/>
      <c r="H719" s="458"/>
      <c r="I719" s="459"/>
      <c r="J719" s="459"/>
    </row>
    <row r="720" spans="1:10" x14ac:dyDescent="0.25">
      <c r="A720" s="545" t="s">
        <v>163</v>
      </c>
      <c r="B720" s="545"/>
      <c r="C720" s="545"/>
      <c r="D720" s="545"/>
      <c r="E720" s="440"/>
      <c r="F720" s="440"/>
      <c r="G720" s="441"/>
      <c r="H720" s="441"/>
      <c r="I720" s="457"/>
      <c r="J720" s="457"/>
    </row>
    <row r="721" spans="1:10" x14ac:dyDescent="0.25">
      <c r="A721" s="548" t="s">
        <v>164</v>
      </c>
      <c r="B721" s="548"/>
      <c r="C721" s="548"/>
      <c r="D721" s="548"/>
      <c r="E721" s="452"/>
      <c r="F721" s="452"/>
      <c r="G721" s="452"/>
      <c r="H721" s="452"/>
      <c r="I721" s="453"/>
      <c r="J721" s="453"/>
    </row>
    <row r="722" spans="1:10" x14ac:dyDescent="0.25">
      <c r="A722" s="437"/>
      <c r="B722" s="438"/>
      <c r="C722" s="438"/>
      <c r="D722" s="439"/>
      <c r="E722" s="440"/>
      <c r="F722" s="440"/>
      <c r="G722" s="441"/>
      <c r="H722" s="441"/>
      <c r="I722" s="441"/>
      <c r="J722" s="441"/>
    </row>
    <row r="723" spans="1:10" x14ac:dyDescent="0.25">
      <c r="A723" s="437"/>
      <c r="B723" s="438"/>
      <c r="C723" s="438"/>
      <c r="D723" s="439"/>
      <c r="E723" s="440"/>
      <c r="F723" s="440"/>
      <c r="G723" s="441"/>
      <c r="H723" s="441"/>
      <c r="I723" s="441"/>
      <c r="J723" s="441"/>
    </row>
    <row r="724" spans="1:10" x14ac:dyDescent="0.25">
      <c r="A724" s="437"/>
      <c r="B724" s="438"/>
      <c r="C724" s="438"/>
      <c r="D724" s="439"/>
      <c r="E724" s="440"/>
      <c r="F724" s="440"/>
      <c r="G724" s="441"/>
      <c r="H724" s="441"/>
      <c r="I724" s="441"/>
      <c r="J724" s="441"/>
    </row>
    <row r="725" spans="1:10" x14ac:dyDescent="0.25">
      <c r="A725" s="561" t="s">
        <v>165</v>
      </c>
      <c r="B725" s="561"/>
      <c r="C725" s="561"/>
      <c r="D725" s="561"/>
      <c r="E725" s="445">
        <f>SUM(E715:E724)</f>
        <v>0</v>
      </c>
      <c r="F725" s="445"/>
      <c r="G725" s="445">
        <f>SUM(G715:G724)</f>
        <v>0</v>
      </c>
      <c r="H725" s="445"/>
      <c r="I725" s="445">
        <f>SUM(I715:I724)</f>
        <v>0</v>
      </c>
      <c r="J725" s="445"/>
    </row>
    <row r="726" spans="1:10" x14ac:dyDescent="0.25">
      <c r="A726" s="446" t="s">
        <v>166</v>
      </c>
      <c r="B726" s="447"/>
      <c r="C726" s="447"/>
      <c r="D726" s="447"/>
      <c r="E726" s="447"/>
      <c r="F726" s="447"/>
      <c r="G726" s="447"/>
      <c r="H726" s="447"/>
      <c r="I726" s="447"/>
      <c r="J726" s="448"/>
    </row>
    <row r="727" spans="1:10" x14ac:dyDescent="0.25">
      <c r="A727" s="423" t="s">
        <v>167</v>
      </c>
      <c r="B727" s="424"/>
      <c r="C727" s="424"/>
      <c r="D727" s="424"/>
      <c r="E727" s="424"/>
      <c r="F727" s="424"/>
      <c r="G727" s="424"/>
      <c r="H727" s="424"/>
      <c r="I727" s="424"/>
      <c r="J727" s="425"/>
    </row>
    <row r="728" spans="1:10" x14ac:dyDescent="0.25">
      <c r="A728" s="423" t="s">
        <v>168</v>
      </c>
      <c r="B728" s="424"/>
      <c r="C728" s="424"/>
      <c r="D728" s="424"/>
      <c r="E728" s="424"/>
      <c r="F728" s="424"/>
      <c r="G728" s="424"/>
      <c r="H728" s="424"/>
      <c r="I728" s="424"/>
      <c r="J728" s="425"/>
    </row>
    <row r="729" spans="1:10" x14ac:dyDescent="0.25">
      <c r="A729" s="426" t="s">
        <v>169</v>
      </c>
      <c r="B729" s="427"/>
      <c r="C729" s="427"/>
      <c r="D729" s="427"/>
      <c r="E729" s="427"/>
      <c r="F729" s="427"/>
      <c r="G729" s="427"/>
      <c r="H729" s="427"/>
      <c r="I729" s="427"/>
      <c r="J729" s="428"/>
    </row>
    <row r="730" spans="1:10" x14ac:dyDescent="0.25">
      <c r="A730" s="552"/>
      <c r="B730" s="553"/>
      <c r="C730" s="553"/>
      <c r="D730" s="553"/>
      <c r="E730" s="553"/>
      <c r="F730" s="553"/>
      <c r="G730" s="553"/>
      <c r="H730" s="553"/>
      <c r="I730" s="553"/>
      <c r="J730" s="554"/>
    </row>
    <row r="731" spans="1:10" x14ac:dyDescent="0.25">
      <c r="A731" s="555"/>
      <c r="B731" s="556"/>
      <c r="C731" s="556"/>
      <c r="D731" s="556"/>
      <c r="E731" s="556"/>
      <c r="F731" s="556"/>
      <c r="G731" s="556"/>
      <c r="H731" s="556"/>
      <c r="I731" s="556"/>
      <c r="J731" s="557"/>
    </row>
    <row r="732" spans="1:10" x14ac:dyDescent="0.25">
      <c r="A732" s="555"/>
      <c r="B732" s="556"/>
      <c r="C732" s="556"/>
      <c r="D732" s="556"/>
      <c r="E732" s="556"/>
      <c r="F732" s="556"/>
      <c r="G732" s="556"/>
      <c r="H732" s="556"/>
      <c r="I732" s="556"/>
      <c r="J732" s="557"/>
    </row>
    <row r="733" spans="1:10" x14ac:dyDescent="0.25">
      <c r="A733" s="555"/>
      <c r="B733" s="556"/>
      <c r="C733" s="556"/>
      <c r="D733" s="556"/>
      <c r="E733" s="556"/>
      <c r="F733" s="556"/>
      <c r="G733" s="556"/>
      <c r="H733" s="556"/>
      <c r="I733" s="556"/>
      <c r="J733" s="557"/>
    </row>
    <row r="734" spans="1:10" x14ac:dyDescent="0.25">
      <c r="A734" s="555"/>
      <c r="B734" s="556"/>
      <c r="C734" s="556"/>
      <c r="D734" s="556"/>
      <c r="E734" s="556"/>
      <c r="F734" s="556"/>
      <c r="G734" s="556"/>
      <c r="H734" s="556"/>
      <c r="I734" s="556"/>
      <c r="J734" s="557"/>
    </row>
    <row r="735" spans="1:10" x14ac:dyDescent="0.25">
      <c r="A735" s="555"/>
      <c r="B735" s="556"/>
      <c r="C735" s="556"/>
      <c r="D735" s="556"/>
      <c r="E735" s="556"/>
      <c r="F735" s="556"/>
      <c r="G735" s="556"/>
      <c r="H735" s="556"/>
      <c r="I735" s="556"/>
      <c r="J735" s="557"/>
    </row>
    <row r="736" spans="1:10" x14ac:dyDescent="0.25">
      <c r="A736" s="555"/>
      <c r="B736" s="556"/>
      <c r="C736" s="556"/>
      <c r="D736" s="556"/>
      <c r="E736" s="556"/>
      <c r="F736" s="556"/>
      <c r="G736" s="556"/>
      <c r="H736" s="556"/>
      <c r="I736" s="556"/>
      <c r="J736" s="557"/>
    </row>
    <row r="737" spans="1:10" x14ac:dyDescent="0.25">
      <c r="A737" s="555"/>
      <c r="B737" s="556"/>
      <c r="C737" s="556"/>
      <c r="D737" s="556"/>
      <c r="E737" s="556"/>
      <c r="F737" s="556"/>
      <c r="G737" s="556"/>
      <c r="H737" s="556"/>
      <c r="I737" s="556"/>
      <c r="J737" s="557"/>
    </row>
    <row r="738" spans="1:10" x14ac:dyDescent="0.25">
      <c r="A738" s="555"/>
      <c r="B738" s="556"/>
      <c r="C738" s="556"/>
      <c r="D738" s="556"/>
      <c r="E738" s="556"/>
      <c r="F738" s="556"/>
      <c r="G738" s="556"/>
      <c r="H738" s="556"/>
      <c r="I738" s="556"/>
      <c r="J738" s="557"/>
    </row>
    <row r="739" spans="1:10" x14ac:dyDescent="0.25">
      <c r="A739" s="555"/>
      <c r="B739" s="556"/>
      <c r="C739" s="556"/>
      <c r="D739" s="556"/>
      <c r="E739" s="556"/>
      <c r="F739" s="556"/>
      <c r="G739" s="556"/>
      <c r="H739" s="556"/>
      <c r="I739" s="556"/>
      <c r="J739" s="557"/>
    </row>
    <row r="740" spans="1:10" x14ac:dyDescent="0.25">
      <c r="A740" s="555"/>
      <c r="B740" s="556"/>
      <c r="C740" s="556"/>
      <c r="D740" s="556"/>
      <c r="E740" s="556"/>
      <c r="F740" s="556"/>
      <c r="G740" s="556"/>
      <c r="H740" s="556"/>
      <c r="I740" s="556"/>
      <c r="J740" s="557"/>
    </row>
    <row r="741" spans="1:10" x14ac:dyDescent="0.25">
      <c r="A741" s="555"/>
      <c r="B741" s="556"/>
      <c r="C741" s="556"/>
      <c r="D741" s="556"/>
      <c r="E741" s="556"/>
      <c r="F741" s="556"/>
      <c r="G741" s="556"/>
      <c r="H741" s="556"/>
      <c r="I741" s="556"/>
      <c r="J741" s="557"/>
    </row>
    <row r="742" spans="1:10" x14ac:dyDescent="0.25">
      <c r="A742" s="555"/>
      <c r="B742" s="556"/>
      <c r="C742" s="556"/>
      <c r="D742" s="556"/>
      <c r="E742" s="556"/>
      <c r="F742" s="556"/>
      <c r="G742" s="556"/>
      <c r="H742" s="556"/>
      <c r="I742" s="556"/>
      <c r="J742" s="557"/>
    </row>
    <row r="743" spans="1:10" x14ac:dyDescent="0.25">
      <c r="A743" s="555"/>
      <c r="B743" s="556"/>
      <c r="C743" s="556"/>
      <c r="D743" s="556"/>
      <c r="E743" s="556"/>
      <c r="F743" s="556"/>
      <c r="G743" s="556"/>
      <c r="H743" s="556"/>
      <c r="I743" s="556"/>
      <c r="J743" s="557"/>
    </row>
    <row r="744" spans="1:10" x14ac:dyDescent="0.25">
      <c r="A744" s="555"/>
      <c r="B744" s="556"/>
      <c r="C744" s="556"/>
      <c r="D744" s="556"/>
      <c r="E744" s="556"/>
      <c r="F744" s="556"/>
      <c r="G744" s="556"/>
      <c r="H744" s="556"/>
      <c r="I744" s="556"/>
      <c r="J744" s="557"/>
    </row>
    <row r="745" spans="1:10" x14ac:dyDescent="0.25">
      <c r="A745" s="555"/>
      <c r="B745" s="556"/>
      <c r="C745" s="556"/>
      <c r="D745" s="556"/>
      <c r="E745" s="556"/>
      <c r="F745" s="556"/>
      <c r="G745" s="556"/>
      <c r="H745" s="556"/>
      <c r="I745" s="556"/>
      <c r="J745" s="557"/>
    </row>
    <row r="746" spans="1:10" x14ac:dyDescent="0.25">
      <c r="A746" s="555"/>
      <c r="B746" s="556"/>
      <c r="C746" s="556"/>
      <c r="D746" s="556"/>
      <c r="E746" s="556"/>
      <c r="F746" s="556"/>
      <c r="G746" s="556"/>
      <c r="H746" s="556"/>
      <c r="I746" s="556"/>
      <c r="J746" s="557"/>
    </row>
    <row r="747" spans="1:10" x14ac:dyDescent="0.25">
      <c r="A747" s="555"/>
      <c r="B747" s="556"/>
      <c r="C747" s="556"/>
      <c r="D747" s="556"/>
      <c r="E747" s="556"/>
      <c r="F747" s="556"/>
      <c r="G747" s="556"/>
      <c r="H747" s="556"/>
      <c r="I747" s="556"/>
      <c r="J747" s="557"/>
    </row>
    <row r="748" spans="1:10" x14ac:dyDescent="0.25">
      <c r="A748" s="555"/>
      <c r="B748" s="556"/>
      <c r="C748" s="556"/>
      <c r="D748" s="556"/>
      <c r="E748" s="556"/>
      <c r="F748" s="556"/>
      <c r="G748" s="556"/>
      <c r="H748" s="556"/>
      <c r="I748" s="556"/>
      <c r="J748" s="557"/>
    </row>
    <row r="749" spans="1:10" x14ac:dyDescent="0.25">
      <c r="A749" s="555"/>
      <c r="B749" s="556"/>
      <c r="C749" s="556"/>
      <c r="D749" s="556"/>
      <c r="E749" s="556"/>
      <c r="F749" s="556"/>
      <c r="G749" s="556"/>
      <c r="H749" s="556"/>
      <c r="I749" s="556"/>
      <c r="J749" s="557"/>
    </row>
    <row r="750" spans="1:10" x14ac:dyDescent="0.25">
      <c r="A750" s="555"/>
      <c r="B750" s="556"/>
      <c r="C750" s="556"/>
      <c r="D750" s="556"/>
      <c r="E750" s="556"/>
      <c r="F750" s="556"/>
      <c r="G750" s="556"/>
      <c r="H750" s="556"/>
      <c r="I750" s="556"/>
      <c r="J750" s="557"/>
    </row>
    <row r="751" spans="1:10" x14ac:dyDescent="0.25">
      <c r="A751" s="555"/>
      <c r="B751" s="556"/>
      <c r="C751" s="556"/>
      <c r="D751" s="556"/>
      <c r="E751" s="556"/>
      <c r="F751" s="556"/>
      <c r="G751" s="556"/>
      <c r="H751" s="556"/>
      <c r="I751" s="556"/>
      <c r="J751" s="557"/>
    </row>
    <row r="752" spans="1:10" x14ac:dyDescent="0.25">
      <c r="A752" s="555"/>
      <c r="B752" s="556"/>
      <c r="C752" s="556"/>
      <c r="D752" s="556"/>
      <c r="E752" s="556"/>
      <c r="F752" s="556"/>
      <c r="G752" s="556"/>
      <c r="H752" s="556"/>
      <c r="I752" s="556"/>
      <c r="J752" s="557"/>
    </row>
    <row r="753" spans="1:10" x14ac:dyDescent="0.25">
      <c r="A753" s="555"/>
      <c r="B753" s="556"/>
      <c r="C753" s="556"/>
      <c r="D753" s="556"/>
      <c r="E753" s="556"/>
      <c r="F753" s="556"/>
      <c r="G753" s="556"/>
      <c r="H753" s="556"/>
      <c r="I753" s="556"/>
      <c r="J753" s="557"/>
    </row>
    <row r="754" spans="1:10" x14ac:dyDescent="0.25">
      <c r="A754" s="555"/>
      <c r="B754" s="556"/>
      <c r="C754" s="556"/>
      <c r="D754" s="556"/>
      <c r="E754" s="556"/>
      <c r="F754" s="556"/>
      <c r="G754" s="556"/>
      <c r="H754" s="556"/>
      <c r="I754" s="556"/>
      <c r="J754" s="557"/>
    </row>
    <row r="755" spans="1:10" x14ac:dyDescent="0.25">
      <c r="A755" s="555"/>
      <c r="B755" s="556"/>
      <c r="C755" s="556"/>
      <c r="D755" s="556"/>
      <c r="E755" s="556"/>
      <c r="F755" s="556"/>
      <c r="G755" s="556"/>
      <c r="H755" s="556"/>
      <c r="I755" s="556"/>
      <c r="J755" s="557"/>
    </row>
    <row r="756" spans="1:10" x14ac:dyDescent="0.25">
      <c r="A756" s="555"/>
      <c r="B756" s="556"/>
      <c r="C756" s="556"/>
      <c r="D756" s="556"/>
      <c r="E756" s="556"/>
      <c r="F756" s="556"/>
      <c r="G756" s="556"/>
      <c r="H756" s="556"/>
      <c r="I756" s="556"/>
      <c r="J756" s="557"/>
    </row>
    <row r="757" spans="1:10" x14ac:dyDescent="0.25">
      <c r="A757" s="555"/>
      <c r="B757" s="556"/>
      <c r="C757" s="556"/>
      <c r="D757" s="556"/>
      <c r="E757" s="556"/>
      <c r="F757" s="556"/>
      <c r="G757" s="556"/>
      <c r="H757" s="556"/>
      <c r="I757" s="556"/>
      <c r="J757" s="557"/>
    </row>
    <row r="758" spans="1:10" x14ac:dyDescent="0.25">
      <c r="A758" s="555"/>
      <c r="B758" s="556"/>
      <c r="C758" s="556"/>
      <c r="D758" s="556"/>
      <c r="E758" s="556"/>
      <c r="F758" s="556"/>
      <c r="G758" s="556"/>
      <c r="H758" s="556"/>
      <c r="I758" s="556"/>
      <c r="J758" s="557"/>
    </row>
    <row r="759" spans="1:10" x14ac:dyDescent="0.25">
      <c r="A759" s="555"/>
      <c r="B759" s="556"/>
      <c r="C759" s="556"/>
      <c r="D759" s="556"/>
      <c r="E759" s="556"/>
      <c r="F759" s="556"/>
      <c r="G759" s="556"/>
      <c r="H759" s="556"/>
      <c r="I759" s="556"/>
      <c r="J759" s="557"/>
    </row>
    <row r="760" spans="1:10" x14ac:dyDescent="0.25">
      <c r="A760" s="558"/>
      <c r="B760" s="559"/>
      <c r="C760" s="559"/>
      <c r="D760" s="559"/>
      <c r="E760" s="559"/>
      <c r="F760" s="559"/>
      <c r="G760" s="559"/>
      <c r="H760" s="559"/>
      <c r="I760" s="559"/>
      <c r="J760" s="560"/>
    </row>
    <row r="762" spans="1:10" ht="15.6" x14ac:dyDescent="0.3">
      <c r="A762" s="372" t="s">
        <v>76</v>
      </c>
      <c r="B762" s="373"/>
      <c r="C762" s="373"/>
      <c r="D762" s="373"/>
      <c r="E762" s="373"/>
      <c r="F762" s="373"/>
      <c r="G762" s="373"/>
      <c r="H762" s="370" t="str">
        <f>'CONTACT INFORMATION'!$A$24</f>
        <v>Ventura</v>
      </c>
      <c r="I762" s="370"/>
      <c r="J762" s="371"/>
    </row>
    <row r="763" spans="1:10" ht="15.6" x14ac:dyDescent="0.3">
      <c r="A763" s="51"/>
      <c r="B763" s="51"/>
      <c r="C763" s="51"/>
      <c r="D763" s="51"/>
      <c r="E763" s="51"/>
      <c r="F763" s="51"/>
      <c r="G763" s="51"/>
      <c r="H763" s="51"/>
      <c r="I763" s="51"/>
      <c r="J763" s="51"/>
    </row>
    <row r="764" spans="1:10" ht="13.8" x14ac:dyDescent="0.25">
      <c r="A764" s="460" t="s">
        <v>216</v>
      </c>
      <c r="B764" s="461"/>
      <c r="C764" s="461"/>
      <c r="D764" s="461"/>
      <c r="E764" s="461"/>
      <c r="F764" s="461"/>
      <c r="G764" s="461"/>
      <c r="H764" s="461"/>
      <c r="I764" s="461"/>
      <c r="J764" s="462"/>
    </row>
    <row r="765" spans="1:10" x14ac:dyDescent="0.25">
      <c r="A765" s="463" t="s">
        <v>151</v>
      </c>
      <c r="B765" s="464"/>
      <c r="C765" s="464"/>
      <c r="D765" s="465"/>
      <c r="E765" s="466"/>
      <c r="F765" s="467"/>
      <c r="G765" s="467"/>
      <c r="H765" s="467"/>
      <c r="I765" s="467"/>
      <c r="J765" s="468"/>
    </row>
    <row r="766" spans="1:10" x14ac:dyDescent="0.25">
      <c r="A766" s="472" t="s">
        <v>181</v>
      </c>
      <c r="B766" s="473"/>
      <c r="C766" s="473"/>
      <c r="D766" s="474"/>
      <c r="E766" s="469"/>
      <c r="F766" s="470"/>
      <c r="G766" s="470"/>
      <c r="H766" s="470"/>
      <c r="I766" s="470"/>
      <c r="J766" s="471"/>
    </row>
    <row r="767" spans="1:10" x14ac:dyDescent="0.25">
      <c r="A767" s="543" t="s">
        <v>182</v>
      </c>
      <c r="B767" s="544"/>
      <c r="C767" s="544"/>
      <c r="D767" s="544"/>
      <c r="E767" s="478"/>
      <c r="F767" s="479"/>
      <c r="G767" s="479"/>
      <c r="H767" s="479"/>
      <c r="I767" s="479"/>
      <c r="J767" s="480"/>
    </row>
    <row r="768" spans="1:10" x14ac:dyDescent="0.25">
      <c r="A768" s="52"/>
      <c r="B768" s="53"/>
      <c r="C768" s="53"/>
      <c r="D768" s="53"/>
      <c r="E768" s="481" t="s">
        <v>155</v>
      </c>
      <c r="F768" s="482"/>
      <c r="G768" s="481" t="s">
        <v>156</v>
      </c>
      <c r="H768" s="482"/>
      <c r="I768" s="483" t="s">
        <v>157</v>
      </c>
      <c r="J768" s="484"/>
    </row>
    <row r="769" spans="1:10" x14ac:dyDescent="0.25">
      <c r="A769" s="548" t="s">
        <v>158</v>
      </c>
      <c r="B769" s="548"/>
      <c r="C769" s="548"/>
      <c r="D769" s="548"/>
      <c r="E769" s="458"/>
      <c r="F769" s="458"/>
      <c r="G769" s="458"/>
      <c r="H769" s="458"/>
      <c r="I769" s="459"/>
      <c r="J769" s="459"/>
    </row>
    <row r="770" spans="1:10" x14ac:dyDescent="0.25">
      <c r="A770" s="545" t="s">
        <v>159</v>
      </c>
      <c r="B770" s="545"/>
      <c r="C770" s="545"/>
      <c r="D770" s="545"/>
      <c r="E770" s="440"/>
      <c r="F770" s="440"/>
      <c r="G770" s="441"/>
      <c r="H770" s="441"/>
      <c r="I770" s="457"/>
      <c r="J770" s="457"/>
    </row>
    <row r="771" spans="1:10" x14ac:dyDescent="0.25">
      <c r="A771" s="548" t="s">
        <v>160</v>
      </c>
      <c r="B771" s="548"/>
      <c r="C771" s="548"/>
      <c r="D771" s="548"/>
      <c r="E771" s="458"/>
      <c r="F771" s="458"/>
      <c r="G771" s="458"/>
      <c r="H771" s="458"/>
      <c r="I771" s="459"/>
      <c r="J771" s="459"/>
    </row>
    <row r="772" spans="1:10" x14ac:dyDescent="0.25">
      <c r="A772" s="545" t="s">
        <v>161</v>
      </c>
      <c r="B772" s="545"/>
      <c r="C772" s="545"/>
      <c r="D772" s="545"/>
      <c r="E772" s="440"/>
      <c r="F772" s="440"/>
      <c r="G772" s="441"/>
      <c r="H772" s="441"/>
      <c r="I772" s="457"/>
      <c r="J772" s="457"/>
    </row>
    <row r="773" spans="1:10" x14ac:dyDescent="0.25">
      <c r="A773" s="548" t="s">
        <v>162</v>
      </c>
      <c r="B773" s="548"/>
      <c r="C773" s="548"/>
      <c r="D773" s="548"/>
      <c r="E773" s="458"/>
      <c r="F773" s="458"/>
      <c r="G773" s="458"/>
      <c r="H773" s="458"/>
      <c r="I773" s="459"/>
      <c r="J773" s="459"/>
    </row>
    <row r="774" spans="1:10" x14ac:dyDescent="0.25">
      <c r="A774" s="545" t="s">
        <v>163</v>
      </c>
      <c r="B774" s="545"/>
      <c r="C774" s="545"/>
      <c r="D774" s="545"/>
      <c r="E774" s="440"/>
      <c r="F774" s="440"/>
      <c r="G774" s="441"/>
      <c r="H774" s="441"/>
      <c r="I774" s="457"/>
      <c r="J774" s="457"/>
    </row>
    <row r="775" spans="1:10" x14ac:dyDescent="0.25">
      <c r="A775" s="548" t="s">
        <v>164</v>
      </c>
      <c r="B775" s="548"/>
      <c r="C775" s="548"/>
      <c r="D775" s="548"/>
      <c r="E775" s="452"/>
      <c r="F775" s="452"/>
      <c r="G775" s="452"/>
      <c r="H775" s="452"/>
      <c r="I775" s="453"/>
      <c r="J775" s="453"/>
    </row>
    <row r="776" spans="1:10" x14ac:dyDescent="0.25">
      <c r="A776" s="437"/>
      <c r="B776" s="438"/>
      <c r="C776" s="438"/>
      <c r="D776" s="439"/>
      <c r="E776" s="440"/>
      <c r="F776" s="440"/>
      <c r="G776" s="441"/>
      <c r="H776" s="441"/>
      <c r="I776" s="441"/>
      <c r="J776" s="441"/>
    </row>
    <row r="777" spans="1:10" x14ac:dyDescent="0.25">
      <c r="A777" s="437"/>
      <c r="B777" s="438"/>
      <c r="C777" s="438"/>
      <c r="D777" s="439"/>
      <c r="E777" s="440"/>
      <c r="F777" s="440"/>
      <c r="G777" s="441"/>
      <c r="H777" s="441"/>
      <c r="I777" s="441"/>
      <c r="J777" s="441"/>
    </row>
    <row r="778" spans="1:10" x14ac:dyDescent="0.25">
      <c r="A778" s="437"/>
      <c r="B778" s="438"/>
      <c r="C778" s="438"/>
      <c r="D778" s="439"/>
      <c r="E778" s="440"/>
      <c r="F778" s="440"/>
      <c r="G778" s="441"/>
      <c r="H778" s="441"/>
      <c r="I778" s="441"/>
      <c r="J778" s="441"/>
    </row>
    <row r="779" spans="1:10" x14ac:dyDescent="0.25">
      <c r="A779" s="561" t="s">
        <v>165</v>
      </c>
      <c r="B779" s="561"/>
      <c r="C779" s="561"/>
      <c r="D779" s="561"/>
      <c r="E779" s="445">
        <f>SUM(E769:E778)</f>
        <v>0</v>
      </c>
      <c r="F779" s="445"/>
      <c r="G779" s="445">
        <f>SUM(G769:G778)</f>
        <v>0</v>
      </c>
      <c r="H779" s="445"/>
      <c r="I779" s="445">
        <f>SUM(I769:I778)</f>
        <v>0</v>
      </c>
      <c r="J779" s="445"/>
    </row>
    <row r="780" spans="1:10" x14ac:dyDescent="0.25">
      <c r="A780" s="446" t="s">
        <v>166</v>
      </c>
      <c r="B780" s="447"/>
      <c r="C780" s="447"/>
      <c r="D780" s="447"/>
      <c r="E780" s="447"/>
      <c r="F780" s="447"/>
      <c r="G780" s="447"/>
      <c r="H780" s="447"/>
      <c r="I780" s="447"/>
      <c r="J780" s="448"/>
    </row>
    <row r="781" spans="1:10" x14ac:dyDescent="0.25">
      <c r="A781" s="423" t="s">
        <v>167</v>
      </c>
      <c r="B781" s="424"/>
      <c r="C781" s="424"/>
      <c r="D781" s="424"/>
      <c r="E781" s="424"/>
      <c r="F781" s="424"/>
      <c r="G781" s="424"/>
      <c r="H781" s="424"/>
      <c r="I781" s="424"/>
      <c r="J781" s="425"/>
    </row>
    <row r="782" spans="1:10" x14ac:dyDescent="0.25">
      <c r="A782" s="423" t="s">
        <v>168</v>
      </c>
      <c r="B782" s="424"/>
      <c r="C782" s="424"/>
      <c r="D782" s="424"/>
      <c r="E782" s="424"/>
      <c r="F782" s="424"/>
      <c r="G782" s="424"/>
      <c r="H782" s="424"/>
      <c r="I782" s="424"/>
      <c r="J782" s="425"/>
    </row>
    <row r="783" spans="1:10" x14ac:dyDescent="0.25">
      <c r="A783" s="426" t="s">
        <v>169</v>
      </c>
      <c r="B783" s="427"/>
      <c r="C783" s="427"/>
      <c r="D783" s="427"/>
      <c r="E783" s="427"/>
      <c r="F783" s="427"/>
      <c r="G783" s="427"/>
      <c r="H783" s="427"/>
      <c r="I783" s="427"/>
      <c r="J783" s="428"/>
    </row>
    <row r="784" spans="1:10" x14ac:dyDescent="0.25">
      <c r="A784" s="552"/>
      <c r="B784" s="553"/>
      <c r="C784" s="553"/>
      <c r="D784" s="553"/>
      <c r="E784" s="553"/>
      <c r="F784" s="553"/>
      <c r="G784" s="553"/>
      <c r="H784" s="553"/>
      <c r="I784" s="553"/>
      <c r="J784" s="554"/>
    </row>
    <row r="785" spans="1:10" x14ac:dyDescent="0.25">
      <c r="A785" s="555"/>
      <c r="B785" s="556"/>
      <c r="C785" s="556"/>
      <c r="D785" s="556"/>
      <c r="E785" s="556"/>
      <c r="F785" s="556"/>
      <c r="G785" s="556"/>
      <c r="H785" s="556"/>
      <c r="I785" s="556"/>
      <c r="J785" s="557"/>
    </row>
    <row r="786" spans="1:10" x14ac:dyDescent="0.25">
      <c r="A786" s="555"/>
      <c r="B786" s="556"/>
      <c r="C786" s="556"/>
      <c r="D786" s="556"/>
      <c r="E786" s="556"/>
      <c r="F786" s="556"/>
      <c r="G786" s="556"/>
      <c r="H786" s="556"/>
      <c r="I786" s="556"/>
      <c r="J786" s="557"/>
    </row>
    <row r="787" spans="1:10" x14ac:dyDescent="0.25">
      <c r="A787" s="555"/>
      <c r="B787" s="556"/>
      <c r="C787" s="556"/>
      <c r="D787" s="556"/>
      <c r="E787" s="556"/>
      <c r="F787" s="556"/>
      <c r="G787" s="556"/>
      <c r="H787" s="556"/>
      <c r="I787" s="556"/>
      <c r="J787" s="557"/>
    </row>
    <row r="788" spans="1:10" x14ac:dyDescent="0.25">
      <c r="A788" s="555"/>
      <c r="B788" s="556"/>
      <c r="C788" s="556"/>
      <c r="D788" s="556"/>
      <c r="E788" s="556"/>
      <c r="F788" s="556"/>
      <c r="G788" s="556"/>
      <c r="H788" s="556"/>
      <c r="I788" s="556"/>
      <c r="J788" s="557"/>
    </row>
    <row r="789" spans="1:10" x14ac:dyDescent="0.25">
      <c r="A789" s="555"/>
      <c r="B789" s="556"/>
      <c r="C789" s="556"/>
      <c r="D789" s="556"/>
      <c r="E789" s="556"/>
      <c r="F789" s="556"/>
      <c r="G789" s="556"/>
      <c r="H789" s="556"/>
      <c r="I789" s="556"/>
      <c r="J789" s="557"/>
    </row>
    <row r="790" spans="1:10" x14ac:dyDescent="0.25">
      <c r="A790" s="555"/>
      <c r="B790" s="556"/>
      <c r="C790" s="556"/>
      <c r="D790" s="556"/>
      <c r="E790" s="556"/>
      <c r="F790" s="556"/>
      <c r="G790" s="556"/>
      <c r="H790" s="556"/>
      <c r="I790" s="556"/>
      <c r="J790" s="557"/>
    </row>
    <row r="791" spans="1:10" x14ac:dyDescent="0.25">
      <c r="A791" s="555"/>
      <c r="B791" s="556"/>
      <c r="C791" s="556"/>
      <c r="D791" s="556"/>
      <c r="E791" s="556"/>
      <c r="F791" s="556"/>
      <c r="G791" s="556"/>
      <c r="H791" s="556"/>
      <c r="I791" s="556"/>
      <c r="J791" s="557"/>
    </row>
    <row r="792" spans="1:10" x14ac:dyDescent="0.25">
      <c r="A792" s="555"/>
      <c r="B792" s="556"/>
      <c r="C792" s="556"/>
      <c r="D792" s="556"/>
      <c r="E792" s="556"/>
      <c r="F792" s="556"/>
      <c r="G792" s="556"/>
      <c r="H792" s="556"/>
      <c r="I792" s="556"/>
      <c r="J792" s="557"/>
    </row>
    <row r="793" spans="1:10" x14ac:dyDescent="0.25">
      <c r="A793" s="555"/>
      <c r="B793" s="556"/>
      <c r="C793" s="556"/>
      <c r="D793" s="556"/>
      <c r="E793" s="556"/>
      <c r="F793" s="556"/>
      <c r="G793" s="556"/>
      <c r="H793" s="556"/>
      <c r="I793" s="556"/>
      <c r="J793" s="557"/>
    </row>
    <row r="794" spans="1:10" x14ac:dyDescent="0.25">
      <c r="A794" s="555"/>
      <c r="B794" s="556"/>
      <c r="C794" s="556"/>
      <c r="D794" s="556"/>
      <c r="E794" s="556"/>
      <c r="F794" s="556"/>
      <c r="G794" s="556"/>
      <c r="H794" s="556"/>
      <c r="I794" s="556"/>
      <c r="J794" s="557"/>
    </row>
    <row r="795" spans="1:10" x14ac:dyDescent="0.25">
      <c r="A795" s="555"/>
      <c r="B795" s="556"/>
      <c r="C795" s="556"/>
      <c r="D795" s="556"/>
      <c r="E795" s="556"/>
      <c r="F795" s="556"/>
      <c r="G795" s="556"/>
      <c r="H795" s="556"/>
      <c r="I795" s="556"/>
      <c r="J795" s="557"/>
    </row>
    <row r="796" spans="1:10" x14ac:dyDescent="0.25">
      <c r="A796" s="555"/>
      <c r="B796" s="556"/>
      <c r="C796" s="556"/>
      <c r="D796" s="556"/>
      <c r="E796" s="556"/>
      <c r="F796" s="556"/>
      <c r="G796" s="556"/>
      <c r="H796" s="556"/>
      <c r="I796" s="556"/>
      <c r="J796" s="557"/>
    </row>
    <row r="797" spans="1:10" x14ac:dyDescent="0.25">
      <c r="A797" s="555"/>
      <c r="B797" s="556"/>
      <c r="C797" s="556"/>
      <c r="D797" s="556"/>
      <c r="E797" s="556"/>
      <c r="F797" s="556"/>
      <c r="G797" s="556"/>
      <c r="H797" s="556"/>
      <c r="I797" s="556"/>
      <c r="J797" s="557"/>
    </row>
    <row r="798" spans="1:10" x14ac:dyDescent="0.25">
      <c r="A798" s="555"/>
      <c r="B798" s="556"/>
      <c r="C798" s="556"/>
      <c r="D798" s="556"/>
      <c r="E798" s="556"/>
      <c r="F798" s="556"/>
      <c r="G798" s="556"/>
      <c r="H798" s="556"/>
      <c r="I798" s="556"/>
      <c r="J798" s="557"/>
    </row>
    <row r="799" spans="1:10" x14ac:dyDescent="0.25">
      <c r="A799" s="555"/>
      <c r="B799" s="556"/>
      <c r="C799" s="556"/>
      <c r="D799" s="556"/>
      <c r="E799" s="556"/>
      <c r="F799" s="556"/>
      <c r="G799" s="556"/>
      <c r="H799" s="556"/>
      <c r="I799" s="556"/>
      <c r="J799" s="557"/>
    </row>
    <row r="800" spans="1:10" x14ac:dyDescent="0.25">
      <c r="A800" s="555"/>
      <c r="B800" s="556"/>
      <c r="C800" s="556"/>
      <c r="D800" s="556"/>
      <c r="E800" s="556"/>
      <c r="F800" s="556"/>
      <c r="G800" s="556"/>
      <c r="H800" s="556"/>
      <c r="I800" s="556"/>
      <c r="J800" s="557"/>
    </row>
    <row r="801" spans="1:10" x14ac:dyDescent="0.25">
      <c r="A801" s="555"/>
      <c r="B801" s="556"/>
      <c r="C801" s="556"/>
      <c r="D801" s="556"/>
      <c r="E801" s="556"/>
      <c r="F801" s="556"/>
      <c r="G801" s="556"/>
      <c r="H801" s="556"/>
      <c r="I801" s="556"/>
      <c r="J801" s="557"/>
    </row>
    <row r="802" spans="1:10" x14ac:dyDescent="0.25">
      <c r="A802" s="555"/>
      <c r="B802" s="556"/>
      <c r="C802" s="556"/>
      <c r="D802" s="556"/>
      <c r="E802" s="556"/>
      <c r="F802" s="556"/>
      <c r="G802" s="556"/>
      <c r="H802" s="556"/>
      <c r="I802" s="556"/>
      <c r="J802" s="557"/>
    </row>
    <row r="803" spans="1:10" x14ac:dyDescent="0.25">
      <c r="A803" s="555"/>
      <c r="B803" s="556"/>
      <c r="C803" s="556"/>
      <c r="D803" s="556"/>
      <c r="E803" s="556"/>
      <c r="F803" s="556"/>
      <c r="G803" s="556"/>
      <c r="H803" s="556"/>
      <c r="I803" s="556"/>
      <c r="J803" s="557"/>
    </row>
    <row r="804" spans="1:10" x14ac:dyDescent="0.25">
      <c r="A804" s="555"/>
      <c r="B804" s="556"/>
      <c r="C804" s="556"/>
      <c r="D804" s="556"/>
      <c r="E804" s="556"/>
      <c r="F804" s="556"/>
      <c r="G804" s="556"/>
      <c r="H804" s="556"/>
      <c r="I804" s="556"/>
      <c r="J804" s="557"/>
    </row>
    <row r="805" spans="1:10" x14ac:dyDescent="0.25">
      <c r="A805" s="555"/>
      <c r="B805" s="556"/>
      <c r="C805" s="556"/>
      <c r="D805" s="556"/>
      <c r="E805" s="556"/>
      <c r="F805" s="556"/>
      <c r="G805" s="556"/>
      <c r="H805" s="556"/>
      <c r="I805" s="556"/>
      <c r="J805" s="557"/>
    </row>
    <row r="806" spans="1:10" x14ac:dyDescent="0.25">
      <c r="A806" s="555"/>
      <c r="B806" s="556"/>
      <c r="C806" s="556"/>
      <c r="D806" s="556"/>
      <c r="E806" s="556"/>
      <c r="F806" s="556"/>
      <c r="G806" s="556"/>
      <c r="H806" s="556"/>
      <c r="I806" s="556"/>
      <c r="J806" s="557"/>
    </row>
    <row r="807" spans="1:10" x14ac:dyDescent="0.25">
      <c r="A807" s="555"/>
      <c r="B807" s="556"/>
      <c r="C807" s="556"/>
      <c r="D807" s="556"/>
      <c r="E807" s="556"/>
      <c r="F807" s="556"/>
      <c r="G807" s="556"/>
      <c r="H807" s="556"/>
      <c r="I807" s="556"/>
      <c r="J807" s="557"/>
    </row>
    <row r="808" spans="1:10" x14ac:dyDescent="0.25">
      <c r="A808" s="555"/>
      <c r="B808" s="556"/>
      <c r="C808" s="556"/>
      <c r="D808" s="556"/>
      <c r="E808" s="556"/>
      <c r="F808" s="556"/>
      <c r="G808" s="556"/>
      <c r="H808" s="556"/>
      <c r="I808" s="556"/>
      <c r="J808" s="557"/>
    </row>
    <row r="809" spans="1:10" x14ac:dyDescent="0.25">
      <c r="A809" s="555"/>
      <c r="B809" s="556"/>
      <c r="C809" s="556"/>
      <c r="D809" s="556"/>
      <c r="E809" s="556"/>
      <c r="F809" s="556"/>
      <c r="G809" s="556"/>
      <c r="H809" s="556"/>
      <c r="I809" s="556"/>
      <c r="J809" s="557"/>
    </row>
    <row r="810" spans="1:10" x14ac:dyDescent="0.25">
      <c r="A810" s="555"/>
      <c r="B810" s="556"/>
      <c r="C810" s="556"/>
      <c r="D810" s="556"/>
      <c r="E810" s="556"/>
      <c r="F810" s="556"/>
      <c r="G810" s="556"/>
      <c r="H810" s="556"/>
      <c r="I810" s="556"/>
      <c r="J810" s="557"/>
    </row>
    <row r="811" spans="1:10" x14ac:dyDescent="0.25">
      <c r="A811" s="555"/>
      <c r="B811" s="556"/>
      <c r="C811" s="556"/>
      <c r="D811" s="556"/>
      <c r="E811" s="556"/>
      <c r="F811" s="556"/>
      <c r="G811" s="556"/>
      <c r="H811" s="556"/>
      <c r="I811" s="556"/>
      <c r="J811" s="557"/>
    </row>
    <row r="812" spans="1:10" x14ac:dyDescent="0.25">
      <c r="A812" s="555"/>
      <c r="B812" s="556"/>
      <c r="C812" s="556"/>
      <c r="D812" s="556"/>
      <c r="E812" s="556"/>
      <c r="F812" s="556"/>
      <c r="G812" s="556"/>
      <c r="H812" s="556"/>
      <c r="I812" s="556"/>
      <c r="J812" s="557"/>
    </row>
    <row r="813" spans="1:10" x14ac:dyDescent="0.25">
      <c r="A813" s="555"/>
      <c r="B813" s="556"/>
      <c r="C813" s="556"/>
      <c r="D813" s="556"/>
      <c r="E813" s="556"/>
      <c r="F813" s="556"/>
      <c r="G813" s="556"/>
      <c r="H813" s="556"/>
      <c r="I813" s="556"/>
      <c r="J813" s="557"/>
    </row>
    <row r="814" spans="1:10" x14ac:dyDescent="0.25">
      <c r="A814" s="555"/>
      <c r="B814" s="556"/>
      <c r="C814" s="556"/>
      <c r="D814" s="556"/>
      <c r="E814" s="556"/>
      <c r="F814" s="556"/>
      <c r="G814" s="556"/>
      <c r="H814" s="556"/>
      <c r="I814" s="556"/>
      <c r="J814" s="557"/>
    </row>
    <row r="815" spans="1:10" x14ac:dyDescent="0.25">
      <c r="A815" s="558"/>
      <c r="B815" s="559"/>
      <c r="C815" s="559"/>
      <c r="D815" s="559"/>
      <c r="E815" s="559"/>
      <c r="F815" s="559"/>
      <c r="G815" s="559"/>
      <c r="H815" s="559"/>
      <c r="I815" s="559"/>
      <c r="J815" s="56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37" customFormat="1" ht="36" customHeight="1" thickTop="1" thickBot="1" x14ac:dyDescent="0.45">
      <c r="A1" s="596" t="s">
        <v>217</v>
      </c>
      <c r="B1" s="597"/>
      <c r="C1" s="597"/>
      <c r="D1" s="597"/>
      <c r="E1" s="597"/>
      <c r="F1" s="597"/>
      <c r="G1" s="597"/>
      <c r="H1" s="597"/>
      <c r="I1" s="597"/>
      <c r="J1" s="598"/>
    </row>
    <row r="2" spans="1:10" ht="13.8" thickTop="1" x14ac:dyDescent="0.25">
      <c r="A2" s="33"/>
      <c r="B2" s="33"/>
      <c r="C2" s="33"/>
      <c r="D2" s="33"/>
      <c r="E2" s="33"/>
      <c r="F2" s="33"/>
      <c r="G2" s="33"/>
      <c r="H2" s="33"/>
      <c r="I2" s="33"/>
      <c r="J2" s="33"/>
    </row>
    <row r="3" spans="1:10" ht="15.6" x14ac:dyDescent="0.3">
      <c r="A3" s="372" t="s">
        <v>23</v>
      </c>
      <c r="B3" s="373"/>
      <c r="C3" s="373"/>
      <c r="D3" s="373"/>
      <c r="E3" s="373"/>
      <c r="F3" s="373"/>
      <c r="G3" s="373"/>
      <c r="H3" s="605" t="str">
        <f>'CONTACT INFORMATION'!$A$24</f>
        <v>Ventura</v>
      </c>
      <c r="I3" s="605"/>
      <c r="J3" s="606"/>
    </row>
    <row r="4" spans="1:10" s="1" customFormat="1" ht="15.6" x14ac:dyDescent="0.3">
      <c r="A4" s="136"/>
      <c r="B4" s="136"/>
      <c r="C4" s="136"/>
      <c r="D4" s="136"/>
      <c r="E4" s="136"/>
      <c r="F4" s="136"/>
      <c r="G4" s="136"/>
      <c r="H4" s="160"/>
      <c r="I4" s="160"/>
      <c r="J4" s="160"/>
    </row>
    <row r="5" spans="1:10" ht="15.6" x14ac:dyDescent="0.3">
      <c r="A5" s="51"/>
      <c r="B5" s="51"/>
      <c r="C5" s="51"/>
      <c r="D5" s="51"/>
      <c r="E5" s="51"/>
      <c r="F5" s="51"/>
      <c r="G5" s="51"/>
      <c r="H5" s="51"/>
      <c r="I5" s="51"/>
      <c r="J5" s="51"/>
    </row>
    <row r="6" spans="1:10" ht="74.099999999999994" customHeight="1" x14ac:dyDescent="0.25">
      <c r="A6" s="599" t="s">
        <v>218</v>
      </c>
      <c r="B6" s="600"/>
      <c r="C6" s="600"/>
      <c r="D6" s="600"/>
      <c r="E6" s="600"/>
      <c r="F6" s="600"/>
      <c r="G6" s="600"/>
      <c r="H6" s="600"/>
      <c r="I6" s="600"/>
      <c r="J6" s="600"/>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ht="22.5" customHeight="1" x14ac:dyDescent="0.25">
      <c r="A9" s="601" t="s">
        <v>219</v>
      </c>
      <c r="B9" s="601"/>
      <c r="C9" s="602"/>
      <c r="D9" s="120" t="s">
        <v>33</v>
      </c>
      <c r="E9" s="33"/>
      <c r="F9" s="33"/>
      <c r="G9" s="601" t="s">
        <v>220</v>
      </c>
      <c r="H9" s="601"/>
      <c r="I9" s="602"/>
      <c r="J9" s="120" t="s">
        <v>33</v>
      </c>
    </row>
    <row r="10" spans="1:10" ht="13.8" x14ac:dyDescent="0.25">
      <c r="A10" s="603" t="s">
        <v>221</v>
      </c>
      <c r="B10" s="603"/>
      <c r="C10" s="604"/>
      <c r="D10" s="161">
        <f>'REPORT 1'!$I$16</f>
        <v>1810</v>
      </c>
      <c r="E10" s="121"/>
      <c r="F10" s="33"/>
      <c r="G10" s="603" t="s">
        <v>221</v>
      </c>
      <c r="H10" s="603"/>
      <c r="I10" s="604"/>
      <c r="J10" s="162">
        <f>'REPORT 1'!$I$27</f>
        <v>1810</v>
      </c>
    </row>
    <row r="11" spans="1:10" x14ac:dyDescent="0.25">
      <c r="A11" s="33"/>
      <c r="B11" s="33"/>
      <c r="C11" s="33"/>
      <c r="D11" s="33"/>
      <c r="E11" s="33"/>
      <c r="F11" s="33"/>
      <c r="G11" s="33"/>
      <c r="H11" s="33"/>
      <c r="I11" s="33"/>
      <c r="J11" s="33"/>
    </row>
    <row r="12" spans="1:10" ht="15.6" x14ac:dyDescent="0.3">
      <c r="A12" s="51"/>
      <c r="B12" s="51"/>
      <c r="C12" s="51"/>
      <c r="D12" s="51"/>
      <c r="E12" s="51"/>
      <c r="F12" s="51"/>
      <c r="G12" s="51"/>
      <c r="H12" s="51"/>
      <c r="I12" s="51"/>
      <c r="J12" s="51"/>
    </row>
    <row r="13" spans="1:10" ht="74.099999999999994" customHeight="1" x14ac:dyDescent="0.25">
      <c r="A13" s="599" t="s">
        <v>222</v>
      </c>
      <c r="B13" s="600"/>
      <c r="C13" s="600"/>
      <c r="D13" s="600"/>
      <c r="E13" s="600"/>
      <c r="F13" s="600"/>
      <c r="G13" s="600"/>
      <c r="H13" s="600"/>
      <c r="I13" s="600"/>
      <c r="J13" s="600"/>
    </row>
    <row r="14" spans="1:10" x14ac:dyDescent="0.25">
      <c r="A14" s="33"/>
      <c r="B14" s="33"/>
      <c r="C14" s="33"/>
      <c r="D14" s="33"/>
      <c r="E14" s="33"/>
      <c r="F14" s="33"/>
      <c r="G14" s="33"/>
      <c r="H14" s="33"/>
      <c r="I14" s="33"/>
      <c r="J14" s="33"/>
    </row>
    <row r="15" spans="1:10" x14ac:dyDescent="0.25">
      <c r="A15" s="33"/>
      <c r="B15" s="33"/>
      <c r="C15" s="33"/>
      <c r="D15" s="33"/>
      <c r="E15" s="33"/>
      <c r="F15" s="33"/>
      <c r="G15" s="33"/>
      <c r="H15" s="33"/>
      <c r="I15" s="33"/>
      <c r="J15" s="33"/>
    </row>
    <row r="16" spans="1:10" ht="22.5" customHeight="1" x14ac:dyDescent="0.25">
      <c r="A16" s="601" t="s">
        <v>45</v>
      </c>
      <c r="B16" s="601"/>
      <c r="C16" s="602"/>
      <c r="D16" s="120" t="s">
        <v>33</v>
      </c>
      <c r="E16" s="33"/>
      <c r="F16" s="33"/>
      <c r="G16" s="601" t="s">
        <v>219</v>
      </c>
      <c r="H16" s="601"/>
      <c r="I16" s="602"/>
      <c r="J16" s="120" t="s">
        <v>33</v>
      </c>
    </row>
    <row r="17" spans="1:10" ht="13.8" x14ac:dyDescent="0.25">
      <c r="D17" s="161">
        <f>'REPORT 3'!$J$9</f>
        <v>1106</v>
      </c>
      <c r="E17" s="33"/>
      <c r="F17" s="33"/>
      <c r="G17" s="607" t="s">
        <v>221</v>
      </c>
      <c r="H17" s="607"/>
      <c r="I17" s="608"/>
      <c r="J17" s="161">
        <f>'REPORT 3'!$J$34</f>
        <v>1106</v>
      </c>
    </row>
    <row r="18" spans="1:10" ht="13.8" x14ac:dyDescent="0.25">
      <c r="A18" s="102"/>
      <c r="B18" s="102"/>
      <c r="C18" s="102"/>
      <c r="D18" s="33"/>
      <c r="E18" s="33"/>
      <c r="F18" s="33"/>
      <c r="G18" s="33"/>
      <c r="H18" s="33"/>
      <c r="I18" s="33"/>
      <c r="J18" s="33"/>
    </row>
    <row r="19" spans="1:10" ht="13.8" x14ac:dyDescent="0.25">
      <c r="A19" s="102"/>
      <c r="B19" s="102"/>
      <c r="C19" s="102"/>
      <c r="D19" s="33"/>
      <c r="E19" s="33"/>
      <c r="F19" s="33"/>
      <c r="G19" s="33"/>
      <c r="H19" s="33"/>
      <c r="I19" s="33"/>
      <c r="J19" s="33"/>
    </row>
    <row r="20" spans="1:10" ht="22.5" customHeight="1" x14ac:dyDescent="0.25">
      <c r="A20" s="601" t="s">
        <v>53</v>
      </c>
      <c r="B20" s="601"/>
      <c r="C20" s="602"/>
      <c r="D20" s="120" t="s">
        <v>33</v>
      </c>
      <c r="E20" s="33"/>
      <c r="F20" s="33"/>
      <c r="G20" s="601" t="s">
        <v>220</v>
      </c>
      <c r="H20" s="601"/>
      <c r="I20" s="602"/>
      <c r="J20" s="120" t="s">
        <v>33</v>
      </c>
    </row>
    <row r="21" spans="1:10" ht="13.8" x14ac:dyDescent="0.25">
      <c r="A21" s="603"/>
      <c r="B21" s="603"/>
      <c r="C21" s="604"/>
      <c r="D21" s="161">
        <f>'REPORT 3'!$J$26</f>
        <v>641</v>
      </c>
      <c r="E21" s="33"/>
      <c r="F21" s="33"/>
      <c r="G21" s="607" t="s">
        <v>221</v>
      </c>
      <c r="H21" s="607"/>
      <c r="I21" s="608"/>
      <c r="J21" s="161">
        <f>'REPORT 3'!$J$44</f>
        <v>1106</v>
      </c>
    </row>
    <row r="22" spans="1:10" ht="13.8" x14ac:dyDescent="0.25">
      <c r="A22" s="103"/>
      <c r="B22" s="103"/>
      <c r="C22" s="103"/>
    </row>
    <row r="24" spans="1:10" ht="70.5" customHeight="1" x14ac:dyDescent="0.25">
      <c r="A24" s="610" t="s">
        <v>223</v>
      </c>
      <c r="B24" s="611"/>
      <c r="C24" s="611"/>
      <c r="D24" s="611"/>
      <c r="E24" s="611"/>
      <c r="F24" s="611"/>
      <c r="G24" s="611"/>
      <c r="H24" s="611"/>
      <c r="I24" s="611"/>
      <c r="J24" s="611"/>
    </row>
    <row r="27" spans="1:10" ht="22.5" customHeight="1" x14ac:dyDescent="0.25">
      <c r="A27" s="609" t="s">
        <v>69</v>
      </c>
      <c r="B27" s="603"/>
      <c r="C27" s="603"/>
      <c r="D27" s="159" t="s">
        <v>33</v>
      </c>
      <c r="G27" s="601" t="s">
        <v>219</v>
      </c>
      <c r="H27" s="601"/>
      <c r="I27" s="602"/>
      <c r="J27" s="159" t="s">
        <v>33</v>
      </c>
    </row>
    <row r="28" spans="1:10" ht="15" customHeight="1" x14ac:dyDescent="0.25">
      <c r="D28" s="163">
        <f>'ARREST REPORT'!$G$12</f>
        <v>2262</v>
      </c>
      <c r="G28" s="607" t="s">
        <v>221</v>
      </c>
      <c r="H28" s="607"/>
      <c r="I28" s="608"/>
      <c r="J28" s="163">
        <f>'ARREST REPORT'!$G$18</f>
        <v>2262</v>
      </c>
    </row>
    <row r="31" spans="1:10" ht="13.8" x14ac:dyDescent="0.25">
      <c r="G31" s="601" t="s">
        <v>220</v>
      </c>
      <c r="H31" s="601"/>
      <c r="I31" s="602"/>
      <c r="J31" s="159" t="s">
        <v>33</v>
      </c>
    </row>
    <row r="32" spans="1:10" s="1" customFormat="1" ht="13.8" x14ac:dyDescent="0.25">
      <c r="G32" s="607" t="s">
        <v>221</v>
      </c>
      <c r="H32" s="607"/>
      <c r="I32" s="608"/>
      <c r="J32" s="163">
        <f>'ARREST REPORT'!$G$26</f>
        <v>2262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03" customWidth="1"/>
  </cols>
  <sheetData>
    <row r="1" spans="1:1" x14ac:dyDescent="0.25">
      <c r="A1" s="102" t="s">
        <v>83</v>
      </c>
    </row>
    <row r="2" spans="1:1" x14ac:dyDescent="0.25">
      <c r="A2" s="102" t="s">
        <v>85</v>
      </c>
    </row>
    <row r="3" spans="1:1" x14ac:dyDescent="0.25">
      <c r="A3" s="102" t="s">
        <v>87</v>
      </c>
    </row>
    <row r="4" spans="1:1" x14ac:dyDescent="0.25">
      <c r="A4" s="102" t="s">
        <v>89</v>
      </c>
    </row>
    <row r="5" spans="1:1" x14ac:dyDescent="0.25">
      <c r="A5" s="102" t="s">
        <v>84</v>
      </c>
    </row>
    <row r="6" spans="1:1" x14ac:dyDescent="0.25">
      <c r="A6" s="102" t="s">
        <v>86</v>
      </c>
    </row>
    <row r="7" spans="1:1" x14ac:dyDescent="0.25">
      <c r="A7" s="102" t="s">
        <v>88</v>
      </c>
    </row>
    <row r="8" spans="1:1" x14ac:dyDescent="0.25">
      <c r="A8" s="102" t="s">
        <v>91</v>
      </c>
    </row>
    <row r="9" spans="1:1" x14ac:dyDescent="0.25">
      <c r="A9" s="102" t="s">
        <v>94</v>
      </c>
    </row>
    <row r="10" spans="1:1" x14ac:dyDescent="0.25">
      <c r="A10" s="102" t="s">
        <v>96</v>
      </c>
    </row>
    <row r="11" spans="1:1" x14ac:dyDescent="0.25">
      <c r="A11" s="102" t="s">
        <v>98</v>
      </c>
    </row>
    <row r="12" spans="1:1" x14ac:dyDescent="0.25">
      <c r="A12" s="102" t="s">
        <v>100</v>
      </c>
    </row>
    <row r="13" spans="1:1" x14ac:dyDescent="0.25">
      <c r="A13" s="102" t="s">
        <v>102</v>
      </c>
    </row>
    <row r="14" spans="1:1" x14ac:dyDescent="0.25">
      <c r="A14" s="102" t="s">
        <v>104</v>
      </c>
    </row>
    <row r="15" spans="1:1" x14ac:dyDescent="0.25">
      <c r="A15" s="102" t="s">
        <v>106</v>
      </c>
    </row>
    <row r="16" spans="1:1" x14ac:dyDescent="0.25">
      <c r="A16" s="102" t="s">
        <v>108</v>
      </c>
    </row>
    <row r="17" spans="1:1" x14ac:dyDescent="0.25">
      <c r="A17" s="102" t="s">
        <v>110</v>
      </c>
    </row>
    <row r="18" spans="1:1" x14ac:dyDescent="0.25">
      <c r="A18" s="102" t="s">
        <v>112</v>
      </c>
    </row>
    <row r="19" spans="1:1" x14ac:dyDescent="0.25">
      <c r="A19" s="102" t="s">
        <v>114</v>
      </c>
    </row>
    <row r="20" spans="1:1" x14ac:dyDescent="0.25">
      <c r="A20" s="102" t="s">
        <v>116</v>
      </c>
    </row>
    <row r="21" spans="1:1" x14ac:dyDescent="0.25">
      <c r="A21" s="102" t="s">
        <v>118</v>
      </c>
    </row>
    <row r="22" spans="1:1" x14ac:dyDescent="0.25">
      <c r="A22" s="102" t="s">
        <v>120</v>
      </c>
    </row>
    <row r="23" spans="1:1" x14ac:dyDescent="0.25">
      <c r="A23" s="102" t="s">
        <v>122</v>
      </c>
    </row>
    <row r="24" spans="1:1" x14ac:dyDescent="0.25">
      <c r="A24" s="102" t="s">
        <v>124</v>
      </c>
    </row>
    <row r="25" spans="1:1" x14ac:dyDescent="0.25">
      <c r="A25" s="102" t="s">
        <v>126</v>
      </c>
    </row>
    <row r="26" spans="1:1" x14ac:dyDescent="0.25">
      <c r="A26" s="102" t="s">
        <v>224</v>
      </c>
    </row>
    <row r="27" spans="1:1" x14ac:dyDescent="0.25">
      <c r="A27" s="102" t="s">
        <v>97</v>
      </c>
    </row>
    <row r="28" spans="1:1" x14ac:dyDescent="0.25">
      <c r="A28" s="102" t="s">
        <v>99</v>
      </c>
    </row>
    <row r="29" spans="1:1" x14ac:dyDescent="0.25">
      <c r="A29" s="102" t="s">
        <v>101</v>
      </c>
    </row>
    <row r="30" spans="1:1" x14ac:dyDescent="0.25">
      <c r="A30" s="102" t="s">
        <v>103</v>
      </c>
    </row>
    <row r="31" spans="1:1" x14ac:dyDescent="0.25">
      <c r="A31" s="102" t="s">
        <v>105</v>
      </c>
    </row>
    <row r="32" spans="1:1" x14ac:dyDescent="0.25">
      <c r="A32" s="102" t="s">
        <v>107</v>
      </c>
    </row>
    <row r="33" spans="1:1" x14ac:dyDescent="0.25">
      <c r="A33" s="102" t="s">
        <v>109</v>
      </c>
    </row>
    <row r="34" spans="1:1" x14ac:dyDescent="0.25">
      <c r="A34" s="102" t="s">
        <v>111</v>
      </c>
    </row>
    <row r="35" spans="1:1" x14ac:dyDescent="0.25">
      <c r="A35" s="102" t="s">
        <v>113</v>
      </c>
    </row>
    <row r="36" spans="1:1" x14ac:dyDescent="0.25">
      <c r="A36" s="102" t="s">
        <v>115</v>
      </c>
    </row>
    <row r="37" spans="1:1" x14ac:dyDescent="0.25">
      <c r="A37" s="102" t="s">
        <v>117</v>
      </c>
    </row>
    <row r="38" spans="1:1" x14ac:dyDescent="0.25">
      <c r="A38" s="102" t="s">
        <v>119</v>
      </c>
    </row>
    <row r="39" spans="1:1" x14ac:dyDescent="0.25">
      <c r="A39" s="102" t="s">
        <v>121</v>
      </c>
    </row>
    <row r="40" spans="1:1" x14ac:dyDescent="0.25">
      <c r="A40" s="102" t="s">
        <v>123</v>
      </c>
    </row>
    <row r="41" spans="1:1" x14ac:dyDescent="0.25">
      <c r="A41" s="102" t="s">
        <v>125</v>
      </c>
    </row>
    <row r="42" spans="1:1" x14ac:dyDescent="0.25">
      <c r="A42" s="102" t="s">
        <v>127</v>
      </c>
    </row>
    <row r="43" spans="1:1" x14ac:dyDescent="0.25">
      <c r="A43" s="102" t="s">
        <v>128</v>
      </c>
    </row>
    <row r="44" spans="1:1" x14ac:dyDescent="0.25">
      <c r="A44" s="102" t="s">
        <v>130</v>
      </c>
    </row>
    <row r="45" spans="1:1" x14ac:dyDescent="0.25">
      <c r="A45" s="102" t="s">
        <v>133</v>
      </c>
    </row>
    <row r="46" spans="1:1" x14ac:dyDescent="0.25">
      <c r="A46" s="102" t="s">
        <v>136</v>
      </c>
    </row>
    <row r="47" spans="1:1" x14ac:dyDescent="0.25">
      <c r="A47" s="102" t="s">
        <v>139</v>
      </c>
    </row>
    <row r="48" spans="1:1" x14ac:dyDescent="0.25">
      <c r="A48" s="102" t="s">
        <v>131</v>
      </c>
    </row>
    <row r="49" spans="1:1" x14ac:dyDescent="0.25">
      <c r="A49" s="102" t="s">
        <v>134</v>
      </c>
    </row>
    <row r="50" spans="1:1" x14ac:dyDescent="0.25">
      <c r="A50" s="102" t="s">
        <v>225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626" t="s">
        <v>226</v>
      </c>
      <c r="B1" s="627"/>
      <c r="C1" s="627"/>
      <c r="D1" s="627"/>
      <c r="E1" s="627"/>
      <c r="F1" s="627"/>
      <c r="G1" s="627"/>
      <c r="H1" s="627"/>
      <c r="I1" s="627"/>
      <c r="J1" s="628"/>
    </row>
    <row r="2" spans="1:11" x14ac:dyDescent="0.25">
      <c r="A2" s="629" t="s">
        <v>227</v>
      </c>
      <c r="B2" s="630"/>
      <c r="C2" s="630"/>
      <c r="D2" s="630"/>
      <c r="E2" s="630"/>
      <c r="F2" s="630"/>
      <c r="G2" s="630"/>
      <c r="H2" s="630"/>
      <c r="I2" s="630"/>
      <c r="J2" s="631"/>
    </row>
    <row r="3" spans="1:11" x14ac:dyDescent="0.25">
      <c r="A3" s="632"/>
      <c r="B3" s="633"/>
      <c r="C3" s="633"/>
      <c r="D3" s="633"/>
      <c r="E3" s="633"/>
      <c r="F3" s="633"/>
      <c r="G3" s="633"/>
      <c r="H3" s="633"/>
      <c r="I3" s="633"/>
      <c r="J3" s="634"/>
    </row>
    <row r="4" spans="1:11" x14ac:dyDescent="0.25">
      <c r="A4" s="635"/>
      <c r="B4" s="636"/>
      <c r="C4" s="636"/>
      <c r="D4" s="636"/>
      <c r="E4" s="636"/>
      <c r="F4" s="636"/>
      <c r="G4" s="636"/>
      <c r="H4" s="636"/>
      <c r="I4" s="636"/>
      <c r="J4" s="637"/>
    </row>
    <row r="5" spans="1:11" x14ac:dyDescent="0.25">
      <c r="A5" s="6"/>
      <c r="B5" s="7"/>
      <c r="C5" s="7"/>
      <c r="D5" s="7"/>
      <c r="E5" s="7"/>
      <c r="F5" s="7"/>
      <c r="G5" s="7"/>
      <c r="H5" s="7"/>
      <c r="I5" s="7"/>
      <c r="J5" s="8"/>
    </row>
    <row r="6" spans="1:11" x14ac:dyDescent="0.25">
      <c r="A6" s="27"/>
      <c r="B6" s="4"/>
      <c r="C6" s="4"/>
      <c r="D6" s="4"/>
      <c r="E6" s="4"/>
      <c r="F6" s="4"/>
      <c r="G6" s="4"/>
      <c r="H6" s="638" t="s">
        <v>228</v>
      </c>
      <c r="I6" s="638"/>
      <c r="J6" s="639"/>
      <c r="K6" s="3"/>
    </row>
    <row r="7" spans="1:11" x14ac:dyDescent="0.25">
      <c r="A7" s="642" t="s">
        <v>229</v>
      </c>
      <c r="B7" s="643"/>
      <c r="C7" s="643"/>
      <c r="D7" s="643"/>
      <c r="E7" s="643"/>
      <c r="F7" s="643"/>
      <c r="G7" s="643"/>
      <c r="H7" s="640"/>
      <c r="I7" s="640"/>
      <c r="J7" s="641"/>
    </row>
    <row r="8" spans="1:11" x14ac:dyDescent="0.25">
      <c r="A8" s="614" t="s">
        <v>230</v>
      </c>
      <c r="B8" s="615"/>
      <c r="C8" s="615"/>
      <c r="D8" s="615"/>
      <c r="E8" s="615"/>
      <c r="F8" s="615"/>
      <c r="G8" s="616"/>
      <c r="H8" s="5"/>
      <c r="I8" s="28"/>
      <c r="J8" s="5"/>
    </row>
    <row r="9" spans="1:11" x14ac:dyDescent="0.25">
      <c r="A9" s="617" t="s">
        <v>231</v>
      </c>
      <c r="B9" s="618"/>
      <c r="C9" s="618"/>
      <c r="D9" s="618"/>
      <c r="E9" s="618"/>
      <c r="F9" s="618"/>
      <c r="G9" s="619"/>
      <c r="H9" s="5"/>
      <c r="I9" s="29"/>
      <c r="J9" s="5"/>
    </row>
    <row r="10" spans="1:11" x14ac:dyDescent="0.25">
      <c r="A10" s="614" t="s">
        <v>232</v>
      </c>
      <c r="B10" s="615"/>
      <c r="C10" s="615"/>
      <c r="D10" s="615"/>
      <c r="E10" s="615"/>
      <c r="F10" s="615"/>
      <c r="G10" s="616"/>
      <c r="H10" s="5"/>
      <c r="I10" s="28"/>
      <c r="J10" s="5"/>
    </row>
    <row r="11" spans="1:11" x14ac:dyDescent="0.25">
      <c r="A11" s="617" t="s">
        <v>233</v>
      </c>
      <c r="B11" s="618"/>
      <c r="C11" s="618"/>
      <c r="D11" s="618"/>
      <c r="E11" s="618"/>
      <c r="F11" s="618"/>
      <c r="G11" s="619"/>
      <c r="H11" s="5"/>
      <c r="I11" s="29"/>
      <c r="J11" s="5"/>
    </row>
    <row r="12" spans="1:11" x14ac:dyDescent="0.25">
      <c r="A12" s="614" t="s">
        <v>234</v>
      </c>
      <c r="B12" s="615"/>
      <c r="C12" s="615"/>
      <c r="D12" s="615"/>
      <c r="E12" s="615"/>
      <c r="F12" s="615"/>
      <c r="G12" s="616"/>
      <c r="H12" s="5"/>
      <c r="I12" s="28"/>
      <c r="J12" s="5"/>
    </row>
    <row r="13" spans="1:11" x14ac:dyDescent="0.25">
      <c r="A13" s="617" t="s">
        <v>235</v>
      </c>
      <c r="B13" s="618"/>
      <c r="C13" s="618"/>
      <c r="D13" s="618"/>
      <c r="E13" s="618"/>
      <c r="F13" s="618"/>
      <c r="G13" s="619"/>
      <c r="H13" s="5"/>
      <c r="I13" s="29"/>
      <c r="J13" s="5"/>
    </row>
    <row r="14" spans="1:11" x14ac:dyDescent="0.25">
      <c r="A14" s="614" t="s">
        <v>236</v>
      </c>
      <c r="B14" s="615"/>
      <c r="C14" s="615"/>
      <c r="D14" s="615"/>
      <c r="E14" s="615"/>
      <c r="F14" s="615"/>
      <c r="G14" s="616"/>
      <c r="H14" s="5"/>
      <c r="I14" s="28"/>
      <c r="J14" s="5"/>
    </row>
    <row r="15" spans="1:11" x14ac:dyDescent="0.25">
      <c r="A15" s="617" t="s">
        <v>237</v>
      </c>
      <c r="B15" s="618"/>
      <c r="C15" s="618"/>
      <c r="D15" s="618"/>
      <c r="E15" s="618"/>
      <c r="F15" s="618"/>
      <c r="G15" s="619"/>
      <c r="H15" s="5"/>
      <c r="I15" s="29"/>
      <c r="J15" s="5"/>
    </row>
    <row r="16" spans="1:11" x14ac:dyDescent="0.25">
      <c r="A16" s="614" t="s">
        <v>238</v>
      </c>
      <c r="B16" s="615"/>
      <c r="C16" s="615"/>
      <c r="D16" s="615"/>
      <c r="E16" s="615"/>
      <c r="F16" s="615"/>
      <c r="G16" s="616"/>
      <c r="H16" s="5"/>
      <c r="I16" s="28"/>
      <c r="J16" s="5"/>
    </row>
    <row r="17" spans="1:10" x14ac:dyDescent="0.25">
      <c r="A17" s="617" t="s">
        <v>239</v>
      </c>
      <c r="B17" s="618"/>
      <c r="C17" s="618"/>
      <c r="D17" s="618"/>
      <c r="E17" s="618"/>
      <c r="F17" s="618"/>
      <c r="G17" s="619"/>
      <c r="H17" s="5"/>
      <c r="I17" s="29"/>
      <c r="J17" s="5"/>
    </row>
    <row r="18" spans="1:10" x14ac:dyDescent="0.25">
      <c r="A18" s="614" t="s">
        <v>240</v>
      </c>
      <c r="B18" s="615"/>
      <c r="C18" s="615"/>
      <c r="D18" s="615"/>
      <c r="E18" s="615"/>
      <c r="F18" s="615"/>
      <c r="G18" s="616"/>
      <c r="H18" s="5"/>
      <c r="I18" s="28"/>
      <c r="J18" s="5"/>
    </row>
    <row r="19" spans="1:10" x14ac:dyDescent="0.25">
      <c r="A19" s="617" t="s">
        <v>241</v>
      </c>
      <c r="B19" s="619"/>
      <c r="C19" s="620"/>
      <c r="D19" s="621"/>
      <c r="E19" s="621"/>
      <c r="F19" s="621"/>
      <c r="G19" s="622"/>
      <c r="H19" s="5"/>
      <c r="I19" s="29"/>
      <c r="J19" s="5"/>
    </row>
    <row r="20" spans="1:10" x14ac:dyDescent="0.25">
      <c r="A20" s="614" t="s">
        <v>241</v>
      </c>
      <c r="B20" s="616"/>
      <c r="C20" s="623"/>
      <c r="D20" s="624"/>
      <c r="E20" s="624"/>
      <c r="F20" s="624"/>
      <c r="G20" s="625"/>
      <c r="H20" s="5"/>
      <c r="I20" s="28"/>
      <c r="J20" s="5"/>
    </row>
    <row r="21" spans="1:10" x14ac:dyDescent="0.25">
      <c r="A21" s="617" t="s">
        <v>241</v>
      </c>
      <c r="B21" s="619"/>
      <c r="C21" s="620"/>
      <c r="D21" s="621"/>
      <c r="E21" s="621"/>
      <c r="F21" s="621"/>
      <c r="G21" s="622"/>
      <c r="H21" s="5"/>
      <c r="I21" s="29"/>
      <c r="J21" s="5"/>
    </row>
    <row r="22" spans="1:10" x14ac:dyDescent="0.25">
      <c r="A22" s="614" t="s">
        <v>241</v>
      </c>
      <c r="B22" s="616"/>
      <c r="C22" s="623"/>
      <c r="D22" s="624"/>
      <c r="E22" s="624"/>
      <c r="F22" s="624"/>
      <c r="G22" s="625"/>
      <c r="H22" s="5"/>
      <c r="I22" s="28"/>
      <c r="J22" s="5"/>
    </row>
    <row r="56" spans="1:8" x14ac:dyDescent="0.25">
      <c r="A56" s="612" t="s">
        <v>242</v>
      </c>
      <c r="B56" s="612"/>
      <c r="C56" s="612"/>
      <c r="D56" s="612"/>
      <c r="E56" s="613" t="str">
        <f>County</f>
        <v>Ventura</v>
      </c>
      <c r="F56" s="613"/>
      <c r="G56" s="613"/>
      <c r="H56" s="613"/>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626" t="s">
        <v>243</v>
      </c>
      <c r="B1" s="627"/>
      <c r="C1" s="627"/>
      <c r="D1" s="627"/>
      <c r="E1" s="627"/>
      <c r="F1" s="627"/>
      <c r="G1" s="627"/>
      <c r="H1" s="627"/>
      <c r="I1" s="627"/>
      <c r="J1" s="628"/>
    </row>
    <row r="2" spans="1:10" x14ac:dyDescent="0.25">
      <c r="A2" s="650" t="s">
        <v>244</v>
      </c>
      <c r="B2" s="651"/>
      <c r="C2" s="651"/>
      <c r="D2" s="651"/>
      <c r="E2" s="651"/>
      <c r="F2" s="651"/>
      <c r="G2" s="651"/>
      <c r="H2" s="651"/>
      <c r="I2" s="651"/>
      <c r="J2" s="652"/>
    </row>
    <row r="3" spans="1:10" x14ac:dyDescent="0.25">
      <c r="A3" s="644" t="s">
        <v>245</v>
      </c>
      <c r="B3" s="645"/>
      <c r="C3" s="645"/>
      <c r="D3" s="645"/>
      <c r="E3" s="645"/>
      <c r="F3" s="645"/>
      <c r="G3" s="645"/>
      <c r="H3" s="645"/>
      <c r="I3" s="645"/>
      <c r="J3" s="646"/>
    </row>
    <row r="4" spans="1:10" x14ac:dyDescent="0.25">
      <c r="A4" s="644" t="s">
        <v>246</v>
      </c>
      <c r="B4" s="645"/>
      <c r="C4" s="645"/>
      <c r="D4" s="645"/>
      <c r="E4" s="645"/>
      <c r="F4" s="645"/>
      <c r="G4" s="645"/>
      <c r="H4" s="645"/>
      <c r="I4" s="645"/>
      <c r="J4" s="646"/>
    </row>
    <row r="5" spans="1:10" x14ac:dyDescent="0.25">
      <c r="A5" s="644" t="s">
        <v>247</v>
      </c>
      <c r="B5" s="645"/>
      <c r="C5" s="645"/>
      <c r="D5" s="645"/>
      <c r="E5" s="645"/>
      <c r="F5" s="645"/>
      <c r="G5" s="645"/>
      <c r="H5" s="645"/>
      <c r="I5" s="645"/>
      <c r="J5" s="646"/>
    </row>
    <row r="6" spans="1:10" x14ac:dyDescent="0.25">
      <c r="A6" s="647" t="s">
        <v>248</v>
      </c>
      <c r="B6" s="648"/>
      <c r="C6" s="648"/>
      <c r="D6" s="648"/>
      <c r="E6" s="648"/>
      <c r="F6" s="648"/>
      <c r="G6" s="648"/>
      <c r="H6" s="648"/>
      <c r="I6" s="648"/>
      <c r="J6" s="649"/>
    </row>
    <row r="7" spans="1:10" x14ac:dyDescent="0.25">
      <c r="A7" s="18" t="s">
        <v>249</v>
      </c>
      <c r="B7" s="19"/>
      <c r="C7" s="19"/>
      <c r="D7" s="19"/>
      <c r="E7" s="19"/>
      <c r="F7" s="19"/>
      <c r="G7" s="19"/>
      <c r="H7" s="30"/>
      <c r="I7" s="19"/>
      <c r="J7" s="20"/>
    </row>
    <row r="8" spans="1:10" x14ac:dyDescent="0.25">
      <c r="A8" s="653" t="s">
        <v>250</v>
      </c>
      <c r="B8" s="654"/>
      <c r="C8" s="654"/>
      <c r="D8" s="654"/>
      <c r="E8" s="654"/>
      <c r="F8" s="654"/>
      <c r="G8" s="654"/>
      <c r="H8" s="654"/>
      <c r="I8" s="654"/>
      <c r="J8" s="655"/>
    </row>
    <row r="9" spans="1:10" x14ac:dyDescent="0.25">
      <c r="A9" s="656" t="s">
        <v>251</v>
      </c>
      <c r="B9" s="648"/>
      <c r="C9" s="648"/>
      <c r="D9" s="648"/>
      <c r="E9" s="648"/>
      <c r="F9" s="648"/>
      <c r="G9" s="648"/>
      <c r="H9" s="648"/>
      <c r="I9" s="648"/>
      <c r="J9" s="649"/>
    </row>
    <row r="10" spans="1:10" x14ac:dyDescent="0.25">
      <c r="A10" s="662"/>
      <c r="B10" s="317"/>
      <c r="C10" s="317"/>
      <c r="D10" s="317"/>
      <c r="E10" s="317"/>
      <c r="F10" s="317"/>
      <c r="G10" s="317"/>
      <c r="H10" s="317"/>
      <c r="I10" s="317"/>
      <c r="J10" s="318"/>
    </row>
    <row r="11" spans="1:10" x14ac:dyDescent="0.25">
      <c r="A11" s="319"/>
      <c r="B11" s="320"/>
      <c r="C11" s="320"/>
      <c r="D11" s="320"/>
      <c r="E11" s="320"/>
      <c r="F11" s="320"/>
      <c r="G11" s="320"/>
      <c r="H11" s="320"/>
      <c r="I11" s="320"/>
      <c r="J11" s="321"/>
    </row>
    <row r="12" spans="1:10" x14ac:dyDescent="0.25">
      <c r="A12" s="319"/>
      <c r="B12" s="320"/>
      <c r="C12" s="320"/>
      <c r="D12" s="320"/>
      <c r="E12" s="320"/>
      <c r="F12" s="320"/>
      <c r="G12" s="320"/>
      <c r="H12" s="320"/>
      <c r="I12" s="320"/>
      <c r="J12" s="321"/>
    </row>
    <row r="13" spans="1:10" x14ac:dyDescent="0.25">
      <c r="A13" s="319"/>
      <c r="B13" s="320"/>
      <c r="C13" s="320"/>
      <c r="D13" s="320"/>
      <c r="E13" s="320"/>
      <c r="F13" s="320"/>
      <c r="G13" s="320"/>
      <c r="H13" s="320"/>
      <c r="I13" s="320"/>
      <c r="J13" s="321"/>
    </row>
    <row r="14" spans="1:10" x14ac:dyDescent="0.25">
      <c r="A14" s="319"/>
      <c r="B14" s="320"/>
      <c r="C14" s="320"/>
      <c r="D14" s="320"/>
      <c r="E14" s="320"/>
      <c r="F14" s="320"/>
      <c r="G14" s="320"/>
      <c r="H14" s="320"/>
      <c r="I14" s="320"/>
      <c r="J14" s="321"/>
    </row>
    <row r="15" spans="1:10" x14ac:dyDescent="0.25">
      <c r="A15" s="319"/>
      <c r="B15" s="320"/>
      <c r="C15" s="320"/>
      <c r="D15" s="320"/>
      <c r="E15" s="320"/>
      <c r="F15" s="320"/>
      <c r="G15" s="320"/>
      <c r="H15" s="320"/>
      <c r="I15" s="320"/>
      <c r="J15" s="321"/>
    </row>
    <row r="16" spans="1:10" x14ac:dyDescent="0.25">
      <c r="A16" s="319"/>
      <c r="B16" s="320"/>
      <c r="C16" s="320"/>
      <c r="D16" s="320"/>
      <c r="E16" s="320"/>
      <c r="F16" s="320"/>
      <c r="G16" s="320"/>
      <c r="H16" s="320"/>
      <c r="I16" s="320"/>
      <c r="J16" s="321"/>
    </row>
    <row r="17" spans="1:10" x14ac:dyDescent="0.25">
      <c r="A17" s="319"/>
      <c r="B17" s="320"/>
      <c r="C17" s="320"/>
      <c r="D17" s="320"/>
      <c r="E17" s="320"/>
      <c r="F17" s="320"/>
      <c r="G17" s="320"/>
      <c r="H17" s="320"/>
      <c r="I17" s="320"/>
      <c r="J17" s="321"/>
    </row>
    <row r="18" spans="1:10" x14ac:dyDescent="0.25">
      <c r="A18" s="319"/>
      <c r="B18" s="320"/>
      <c r="C18" s="320"/>
      <c r="D18" s="320"/>
      <c r="E18" s="320"/>
      <c r="F18" s="320"/>
      <c r="G18" s="320"/>
      <c r="H18" s="320"/>
      <c r="I18" s="320"/>
      <c r="J18" s="321"/>
    </row>
    <row r="19" spans="1:10" x14ac:dyDescent="0.25">
      <c r="A19" s="319"/>
      <c r="B19" s="320"/>
      <c r="C19" s="320"/>
      <c r="D19" s="320"/>
      <c r="E19" s="320"/>
      <c r="F19" s="320"/>
      <c r="G19" s="320"/>
      <c r="H19" s="320"/>
      <c r="I19" s="320"/>
      <c r="J19" s="321"/>
    </row>
    <row r="20" spans="1:10" x14ac:dyDescent="0.25">
      <c r="A20" s="319"/>
      <c r="B20" s="320"/>
      <c r="C20" s="320"/>
      <c r="D20" s="320"/>
      <c r="E20" s="320"/>
      <c r="F20" s="320"/>
      <c r="G20" s="320"/>
      <c r="H20" s="320"/>
      <c r="I20" s="320"/>
      <c r="J20" s="321"/>
    </row>
    <row r="21" spans="1:10" x14ac:dyDescent="0.25">
      <c r="A21" s="319"/>
      <c r="B21" s="320"/>
      <c r="C21" s="320"/>
      <c r="D21" s="320"/>
      <c r="E21" s="320"/>
      <c r="F21" s="320"/>
      <c r="G21" s="320"/>
      <c r="H21" s="320"/>
      <c r="I21" s="320"/>
      <c r="J21" s="321"/>
    </row>
    <row r="22" spans="1:10" x14ac:dyDescent="0.25">
      <c r="A22" s="319"/>
      <c r="B22" s="320"/>
      <c r="C22" s="320"/>
      <c r="D22" s="320"/>
      <c r="E22" s="320"/>
      <c r="F22" s="320"/>
      <c r="G22" s="320"/>
      <c r="H22" s="320"/>
      <c r="I22" s="320"/>
      <c r="J22" s="321"/>
    </row>
    <row r="23" spans="1:10" x14ac:dyDescent="0.25">
      <c r="A23" s="319"/>
      <c r="B23" s="320"/>
      <c r="C23" s="320"/>
      <c r="D23" s="320"/>
      <c r="E23" s="320"/>
      <c r="F23" s="320"/>
      <c r="G23" s="320"/>
      <c r="H23" s="320"/>
      <c r="I23" s="320"/>
      <c r="J23" s="321"/>
    </row>
    <row r="24" spans="1:10" x14ac:dyDescent="0.25">
      <c r="A24" s="319"/>
      <c r="B24" s="320"/>
      <c r="C24" s="320"/>
      <c r="D24" s="320"/>
      <c r="E24" s="320"/>
      <c r="F24" s="320"/>
      <c r="G24" s="320"/>
      <c r="H24" s="320"/>
      <c r="I24" s="320"/>
      <c r="J24" s="321"/>
    </row>
    <row r="25" spans="1:10" x14ac:dyDescent="0.25">
      <c r="A25" s="322"/>
      <c r="B25" s="323"/>
      <c r="C25" s="323"/>
      <c r="D25" s="323"/>
      <c r="E25" s="323"/>
      <c r="F25" s="323"/>
      <c r="G25" s="323"/>
      <c r="H25" s="323"/>
      <c r="I25" s="323"/>
      <c r="J25" s="324"/>
    </row>
    <row r="26" spans="1:10" x14ac:dyDescent="0.25">
      <c r="A26" s="223" t="s">
        <v>252</v>
      </c>
      <c r="B26" s="224"/>
      <c r="C26" s="224"/>
      <c r="D26" s="224"/>
      <c r="E26" s="224"/>
      <c r="F26" s="224"/>
      <c r="G26" s="224"/>
      <c r="H26" s="224"/>
      <c r="I26" s="224"/>
      <c r="J26" s="225"/>
    </row>
    <row r="27" spans="1:10" x14ac:dyDescent="0.25">
      <c r="A27" s="662"/>
      <c r="B27" s="317"/>
      <c r="C27" s="317"/>
      <c r="D27" s="317"/>
      <c r="E27" s="317"/>
      <c r="F27" s="317"/>
      <c r="G27" s="317"/>
      <c r="H27" s="317"/>
      <c r="I27" s="317"/>
      <c r="J27" s="318"/>
    </row>
    <row r="28" spans="1:10" x14ac:dyDescent="0.25">
      <c r="A28" s="319"/>
      <c r="B28" s="320"/>
      <c r="C28" s="320"/>
      <c r="D28" s="320"/>
      <c r="E28" s="320"/>
      <c r="F28" s="320"/>
      <c r="G28" s="320"/>
      <c r="H28" s="320"/>
      <c r="I28" s="320"/>
      <c r="J28" s="321"/>
    </row>
    <row r="29" spans="1:10" x14ac:dyDescent="0.25">
      <c r="A29" s="319"/>
      <c r="B29" s="320"/>
      <c r="C29" s="320"/>
      <c r="D29" s="320"/>
      <c r="E29" s="320"/>
      <c r="F29" s="320"/>
      <c r="G29" s="320"/>
      <c r="H29" s="320"/>
      <c r="I29" s="320"/>
      <c r="J29" s="321"/>
    </row>
    <row r="30" spans="1:10" x14ac:dyDescent="0.25">
      <c r="A30" s="319"/>
      <c r="B30" s="320"/>
      <c r="C30" s="320"/>
      <c r="D30" s="320"/>
      <c r="E30" s="320"/>
      <c r="F30" s="320"/>
      <c r="G30" s="320"/>
      <c r="H30" s="320"/>
      <c r="I30" s="320"/>
      <c r="J30" s="321"/>
    </row>
    <row r="31" spans="1:10" x14ac:dyDescent="0.25">
      <c r="A31" s="319"/>
      <c r="B31" s="320"/>
      <c r="C31" s="320"/>
      <c r="D31" s="320"/>
      <c r="E31" s="320"/>
      <c r="F31" s="320"/>
      <c r="G31" s="320"/>
      <c r="H31" s="320"/>
      <c r="I31" s="320"/>
      <c r="J31" s="321"/>
    </row>
    <row r="32" spans="1:10" x14ac:dyDescent="0.25">
      <c r="A32" s="319"/>
      <c r="B32" s="320"/>
      <c r="C32" s="320"/>
      <c r="D32" s="320"/>
      <c r="E32" s="320"/>
      <c r="F32" s="320"/>
      <c r="G32" s="320"/>
      <c r="H32" s="320"/>
      <c r="I32" s="320"/>
      <c r="J32" s="321"/>
    </row>
    <row r="33" spans="1:10" x14ac:dyDescent="0.25">
      <c r="A33" s="319"/>
      <c r="B33" s="320"/>
      <c r="C33" s="320"/>
      <c r="D33" s="320"/>
      <c r="E33" s="320"/>
      <c r="F33" s="320"/>
      <c r="G33" s="320"/>
      <c r="H33" s="320"/>
      <c r="I33" s="320"/>
      <c r="J33" s="321"/>
    </row>
    <row r="34" spans="1:10" x14ac:dyDescent="0.25">
      <c r="A34" s="319"/>
      <c r="B34" s="320"/>
      <c r="C34" s="320"/>
      <c r="D34" s="320"/>
      <c r="E34" s="320"/>
      <c r="F34" s="320"/>
      <c r="G34" s="320"/>
      <c r="H34" s="320"/>
      <c r="I34" s="320"/>
      <c r="J34" s="321"/>
    </row>
    <row r="35" spans="1:10" x14ac:dyDescent="0.25">
      <c r="A35" s="319"/>
      <c r="B35" s="320"/>
      <c r="C35" s="320"/>
      <c r="D35" s="320"/>
      <c r="E35" s="320"/>
      <c r="F35" s="320"/>
      <c r="G35" s="320"/>
      <c r="H35" s="320"/>
      <c r="I35" s="320"/>
      <c r="J35" s="321"/>
    </row>
    <row r="36" spans="1:10" x14ac:dyDescent="0.25">
      <c r="A36" s="319"/>
      <c r="B36" s="320"/>
      <c r="C36" s="320"/>
      <c r="D36" s="320"/>
      <c r="E36" s="320"/>
      <c r="F36" s="320"/>
      <c r="G36" s="320"/>
      <c r="H36" s="320"/>
      <c r="I36" s="320"/>
      <c r="J36" s="321"/>
    </row>
    <row r="37" spans="1:10" x14ac:dyDescent="0.25">
      <c r="A37" s="319"/>
      <c r="B37" s="320"/>
      <c r="C37" s="320"/>
      <c r="D37" s="320"/>
      <c r="E37" s="320"/>
      <c r="F37" s="320"/>
      <c r="G37" s="320"/>
      <c r="H37" s="320"/>
      <c r="I37" s="320"/>
      <c r="J37" s="321"/>
    </row>
    <row r="38" spans="1:10" x14ac:dyDescent="0.25">
      <c r="A38" s="322"/>
      <c r="B38" s="323"/>
      <c r="C38" s="323"/>
      <c r="D38" s="323"/>
      <c r="E38" s="323"/>
      <c r="F38" s="323"/>
      <c r="G38" s="323"/>
      <c r="H38" s="323"/>
      <c r="I38" s="323"/>
      <c r="J38" s="324"/>
    </row>
    <row r="39" spans="1:10" x14ac:dyDescent="0.25">
      <c r="A39" s="657" t="s">
        <v>253</v>
      </c>
      <c r="B39" s="658"/>
      <c r="C39" s="658"/>
      <c r="D39" s="658"/>
      <c r="E39" s="658"/>
      <c r="F39" s="658"/>
      <c r="G39" s="658"/>
      <c r="H39" s="658"/>
      <c r="I39" s="658"/>
      <c r="J39" s="659"/>
    </row>
    <row r="40" spans="1:10" x14ac:dyDescent="0.25">
      <c r="A40" s="656" t="s">
        <v>254</v>
      </c>
      <c r="B40" s="660"/>
      <c r="C40" s="660"/>
      <c r="D40" s="660"/>
      <c r="E40" s="660"/>
      <c r="F40" s="660"/>
      <c r="G40" s="660"/>
      <c r="H40" s="660"/>
      <c r="I40" s="660"/>
      <c r="J40" s="661"/>
    </row>
    <row r="41" spans="1:10" x14ac:dyDescent="0.25">
      <c r="A41" s="662"/>
      <c r="B41" s="317"/>
      <c r="C41" s="317"/>
      <c r="D41" s="317"/>
      <c r="E41" s="317"/>
      <c r="F41" s="317"/>
      <c r="G41" s="317"/>
      <c r="H41" s="317"/>
      <c r="I41" s="317"/>
      <c r="J41" s="318"/>
    </row>
    <row r="42" spans="1:10" x14ac:dyDescent="0.25">
      <c r="A42" s="319"/>
      <c r="B42" s="320"/>
      <c r="C42" s="320"/>
      <c r="D42" s="320"/>
      <c r="E42" s="320"/>
      <c r="F42" s="320"/>
      <c r="G42" s="320"/>
      <c r="H42" s="320"/>
      <c r="I42" s="320"/>
      <c r="J42" s="321"/>
    </row>
    <row r="43" spans="1:10" x14ac:dyDescent="0.25">
      <c r="A43" s="319"/>
      <c r="B43" s="320"/>
      <c r="C43" s="320"/>
      <c r="D43" s="320"/>
      <c r="E43" s="320"/>
      <c r="F43" s="320"/>
      <c r="G43" s="320"/>
      <c r="H43" s="320"/>
      <c r="I43" s="320"/>
      <c r="J43" s="321"/>
    </row>
    <row r="44" spans="1:10" x14ac:dyDescent="0.25">
      <c r="A44" s="319"/>
      <c r="B44" s="320"/>
      <c r="C44" s="320"/>
      <c r="D44" s="320"/>
      <c r="E44" s="320"/>
      <c r="F44" s="320"/>
      <c r="G44" s="320"/>
      <c r="H44" s="320"/>
      <c r="I44" s="320"/>
      <c r="J44" s="321"/>
    </row>
    <row r="45" spans="1:10" x14ac:dyDescent="0.25">
      <c r="A45" s="319"/>
      <c r="B45" s="320"/>
      <c r="C45" s="320"/>
      <c r="D45" s="320"/>
      <c r="E45" s="320"/>
      <c r="F45" s="320"/>
      <c r="G45" s="320"/>
      <c r="H45" s="320"/>
      <c r="I45" s="320"/>
      <c r="J45" s="321"/>
    </row>
    <row r="46" spans="1:10" x14ac:dyDescent="0.25">
      <c r="A46" s="319"/>
      <c r="B46" s="320"/>
      <c r="C46" s="320"/>
      <c r="D46" s="320"/>
      <c r="E46" s="320"/>
      <c r="F46" s="320"/>
      <c r="G46" s="320"/>
      <c r="H46" s="320"/>
      <c r="I46" s="320"/>
      <c r="J46" s="321"/>
    </row>
    <row r="47" spans="1:10" x14ac:dyDescent="0.25">
      <c r="A47" s="319"/>
      <c r="B47" s="320"/>
      <c r="C47" s="320"/>
      <c r="D47" s="320"/>
      <c r="E47" s="320"/>
      <c r="F47" s="320"/>
      <c r="G47" s="320"/>
      <c r="H47" s="320"/>
      <c r="I47" s="320"/>
      <c r="J47" s="321"/>
    </row>
    <row r="48" spans="1:10" x14ac:dyDescent="0.25">
      <c r="A48" s="319"/>
      <c r="B48" s="320"/>
      <c r="C48" s="320"/>
      <c r="D48" s="320"/>
      <c r="E48" s="320"/>
      <c r="F48" s="320"/>
      <c r="G48" s="320"/>
      <c r="H48" s="320"/>
      <c r="I48" s="320"/>
      <c r="J48" s="321"/>
    </row>
    <row r="49" spans="1:10" x14ac:dyDescent="0.25">
      <c r="A49" s="319"/>
      <c r="B49" s="320"/>
      <c r="C49" s="320"/>
      <c r="D49" s="320"/>
      <c r="E49" s="320"/>
      <c r="F49" s="320"/>
      <c r="G49" s="320"/>
      <c r="H49" s="320"/>
      <c r="I49" s="320"/>
      <c r="J49" s="321"/>
    </row>
    <row r="50" spans="1:10" x14ac:dyDescent="0.25">
      <c r="A50" s="319"/>
      <c r="B50" s="320"/>
      <c r="C50" s="320"/>
      <c r="D50" s="320"/>
      <c r="E50" s="320"/>
      <c r="F50" s="320"/>
      <c r="G50" s="320"/>
      <c r="H50" s="320"/>
      <c r="I50" s="320"/>
      <c r="J50" s="321"/>
    </row>
    <row r="51" spans="1:10" x14ac:dyDescent="0.25">
      <c r="A51" s="319"/>
      <c r="B51" s="320"/>
      <c r="C51" s="320"/>
      <c r="D51" s="320"/>
      <c r="E51" s="320"/>
      <c r="F51" s="320"/>
      <c r="G51" s="320"/>
      <c r="H51" s="320"/>
      <c r="I51" s="320"/>
      <c r="J51" s="321"/>
    </row>
    <row r="52" spans="1:10" x14ac:dyDescent="0.25">
      <c r="A52" s="322"/>
      <c r="B52" s="323"/>
      <c r="C52" s="323"/>
      <c r="D52" s="323"/>
      <c r="E52" s="323"/>
      <c r="F52" s="323"/>
      <c r="G52" s="323"/>
      <c r="H52" s="323"/>
      <c r="I52" s="323"/>
      <c r="J52" s="324"/>
    </row>
    <row r="53" spans="1:10" x14ac:dyDescent="0.25">
      <c r="A53" s="612" t="s">
        <v>242</v>
      </c>
      <c r="B53" s="612"/>
      <c r="C53" s="612"/>
      <c r="D53" s="612"/>
      <c r="E53" s="613" t="str">
        <f>County</f>
        <v>Ventura</v>
      </c>
      <c r="F53" s="613"/>
      <c r="G53" s="613"/>
      <c r="H53" s="613"/>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626" t="s">
        <v>255</v>
      </c>
      <c r="B1" s="627"/>
      <c r="C1" s="627"/>
      <c r="D1" s="627"/>
      <c r="E1" s="627"/>
      <c r="F1" s="627"/>
      <c r="G1" s="627"/>
      <c r="H1" s="627"/>
      <c r="I1" s="627"/>
      <c r="J1" s="628"/>
    </row>
    <row r="2" spans="1:10" x14ac:dyDescent="0.25">
      <c r="A2" s="650" t="s">
        <v>256</v>
      </c>
      <c r="B2" s="651"/>
      <c r="C2" s="651"/>
      <c r="D2" s="651"/>
      <c r="E2" s="651"/>
      <c r="F2" s="651"/>
      <c r="G2" s="651"/>
      <c r="H2" s="651"/>
      <c r="I2" s="651"/>
      <c r="J2" s="652"/>
    </row>
    <row r="3" spans="1:10" x14ac:dyDescent="0.25">
      <c r="A3" s="644" t="s">
        <v>257</v>
      </c>
      <c r="B3" s="645"/>
      <c r="C3" s="645"/>
      <c r="D3" s="645"/>
      <c r="E3" s="645"/>
      <c r="F3" s="645"/>
      <c r="G3" s="645"/>
      <c r="H3" s="645"/>
      <c r="I3" s="645"/>
      <c r="J3" s="646"/>
    </row>
    <row r="4" spans="1:10" x14ac:dyDescent="0.25">
      <c r="A4" s="644" t="s">
        <v>258</v>
      </c>
      <c r="B4" s="645"/>
      <c r="C4" s="645"/>
      <c r="D4" s="645"/>
      <c r="E4" s="645"/>
      <c r="F4" s="645"/>
      <c r="G4" s="645"/>
      <c r="H4" s="645"/>
      <c r="I4" s="645"/>
      <c r="J4" s="646"/>
    </row>
    <row r="5" spans="1:10" x14ac:dyDescent="0.25">
      <c r="A5" s="644" t="s">
        <v>259</v>
      </c>
      <c r="B5" s="645"/>
      <c r="C5" s="645"/>
      <c r="D5" s="645"/>
      <c r="E5" s="645"/>
      <c r="F5" s="645"/>
      <c r="G5" s="645"/>
      <c r="H5" s="645"/>
      <c r="I5" s="645"/>
      <c r="J5" s="646"/>
    </row>
    <row r="6" spans="1:10" x14ac:dyDescent="0.25">
      <c r="A6" s="208" t="s">
        <v>260</v>
      </c>
      <c r="B6" s="25"/>
      <c r="C6" s="25"/>
      <c r="D6" s="25"/>
      <c r="E6" s="25"/>
      <c r="F6" s="25"/>
      <c r="G6" s="25"/>
      <c r="H6" s="25"/>
      <c r="I6" s="31"/>
      <c r="J6" s="20"/>
    </row>
    <row r="7" spans="1:10" x14ac:dyDescent="0.25">
      <c r="A7" s="209" t="s">
        <v>261</v>
      </c>
      <c r="B7" s="16"/>
      <c r="C7" s="16"/>
      <c r="D7" s="16"/>
      <c r="E7" s="16"/>
      <c r="F7" s="16"/>
      <c r="G7" s="16"/>
      <c r="H7" s="16"/>
      <c r="I7" s="32"/>
      <c r="J7" s="17"/>
    </row>
    <row r="8" spans="1:10" x14ac:dyDescent="0.25">
      <c r="A8" s="664" t="s">
        <v>262</v>
      </c>
      <c r="B8" s="648"/>
      <c r="C8" s="648"/>
      <c r="D8" s="648"/>
      <c r="E8" s="648"/>
      <c r="F8" s="648"/>
      <c r="G8" s="648"/>
      <c r="H8" s="648"/>
      <c r="I8" s="648"/>
      <c r="J8" s="649"/>
    </row>
    <row r="9" spans="1:10" x14ac:dyDescent="0.25">
      <c r="A9" s="662"/>
      <c r="B9" s="317"/>
      <c r="C9" s="317"/>
      <c r="D9" s="317"/>
      <c r="E9" s="317"/>
      <c r="F9" s="317"/>
      <c r="G9" s="317"/>
      <c r="H9" s="317"/>
      <c r="I9" s="317"/>
      <c r="J9" s="318"/>
    </row>
    <row r="10" spans="1:10" x14ac:dyDescent="0.25">
      <c r="A10" s="319"/>
      <c r="B10" s="320"/>
      <c r="C10" s="320"/>
      <c r="D10" s="320"/>
      <c r="E10" s="320"/>
      <c r="F10" s="320"/>
      <c r="G10" s="320"/>
      <c r="H10" s="320"/>
      <c r="I10" s="320"/>
      <c r="J10" s="321"/>
    </row>
    <row r="11" spans="1:10" x14ac:dyDescent="0.25">
      <c r="A11" s="319"/>
      <c r="B11" s="320"/>
      <c r="C11" s="320"/>
      <c r="D11" s="320"/>
      <c r="E11" s="320"/>
      <c r="F11" s="320"/>
      <c r="G11" s="320"/>
      <c r="H11" s="320"/>
      <c r="I11" s="320"/>
      <c r="J11" s="321"/>
    </row>
    <row r="12" spans="1:10" x14ac:dyDescent="0.25">
      <c r="A12" s="319"/>
      <c r="B12" s="320"/>
      <c r="C12" s="320"/>
      <c r="D12" s="320"/>
      <c r="E12" s="320"/>
      <c r="F12" s="320"/>
      <c r="G12" s="320"/>
      <c r="H12" s="320"/>
      <c r="I12" s="320"/>
      <c r="J12" s="321"/>
    </row>
    <row r="13" spans="1:10" x14ac:dyDescent="0.25">
      <c r="A13" s="319"/>
      <c r="B13" s="320"/>
      <c r="C13" s="320"/>
      <c r="D13" s="320"/>
      <c r="E13" s="320"/>
      <c r="F13" s="320"/>
      <c r="G13" s="320"/>
      <c r="H13" s="320"/>
      <c r="I13" s="320"/>
      <c r="J13" s="321"/>
    </row>
    <row r="14" spans="1:10" x14ac:dyDescent="0.25">
      <c r="A14" s="319"/>
      <c r="B14" s="320"/>
      <c r="C14" s="320"/>
      <c r="D14" s="320"/>
      <c r="E14" s="320"/>
      <c r="F14" s="320"/>
      <c r="G14" s="320"/>
      <c r="H14" s="320"/>
      <c r="I14" s="320"/>
      <c r="J14" s="321"/>
    </row>
    <row r="15" spans="1:10" x14ac:dyDescent="0.25">
      <c r="A15" s="319"/>
      <c r="B15" s="320"/>
      <c r="C15" s="320"/>
      <c r="D15" s="320"/>
      <c r="E15" s="320"/>
      <c r="F15" s="320"/>
      <c r="G15" s="320"/>
      <c r="H15" s="320"/>
      <c r="I15" s="320"/>
      <c r="J15" s="321"/>
    </row>
    <row r="16" spans="1:10" x14ac:dyDescent="0.25">
      <c r="A16" s="319"/>
      <c r="B16" s="320"/>
      <c r="C16" s="320"/>
      <c r="D16" s="320"/>
      <c r="E16" s="320"/>
      <c r="F16" s="320"/>
      <c r="G16" s="320"/>
      <c r="H16" s="320"/>
      <c r="I16" s="320"/>
      <c r="J16" s="321"/>
    </row>
    <row r="17" spans="1:10" x14ac:dyDescent="0.25">
      <c r="A17" s="319"/>
      <c r="B17" s="320"/>
      <c r="C17" s="320"/>
      <c r="D17" s="320"/>
      <c r="E17" s="320"/>
      <c r="F17" s="320"/>
      <c r="G17" s="320"/>
      <c r="H17" s="320"/>
      <c r="I17" s="320"/>
      <c r="J17" s="321"/>
    </row>
    <row r="18" spans="1:10" x14ac:dyDescent="0.25">
      <c r="A18" s="319"/>
      <c r="B18" s="320"/>
      <c r="C18" s="320"/>
      <c r="D18" s="320"/>
      <c r="E18" s="320"/>
      <c r="F18" s="320"/>
      <c r="G18" s="320"/>
      <c r="H18" s="320"/>
      <c r="I18" s="320"/>
      <c r="J18" s="321"/>
    </row>
    <row r="19" spans="1:10" x14ac:dyDescent="0.25">
      <c r="A19" s="319"/>
      <c r="B19" s="320"/>
      <c r="C19" s="320"/>
      <c r="D19" s="320"/>
      <c r="E19" s="320"/>
      <c r="F19" s="320"/>
      <c r="G19" s="320"/>
      <c r="H19" s="320"/>
      <c r="I19" s="320"/>
      <c r="J19" s="321"/>
    </row>
    <row r="20" spans="1:10" x14ac:dyDescent="0.25">
      <c r="A20" s="319"/>
      <c r="B20" s="320"/>
      <c r="C20" s="320"/>
      <c r="D20" s="320"/>
      <c r="E20" s="320"/>
      <c r="F20" s="320"/>
      <c r="G20" s="320"/>
      <c r="H20" s="320"/>
      <c r="I20" s="320"/>
      <c r="J20" s="321"/>
    </row>
    <row r="21" spans="1:10" x14ac:dyDescent="0.25">
      <c r="A21" s="319"/>
      <c r="B21" s="320"/>
      <c r="C21" s="320"/>
      <c r="D21" s="320"/>
      <c r="E21" s="320"/>
      <c r="F21" s="320"/>
      <c r="G21" s="320"/>
      <c r="H21" s="320"/>
      <c r="I21" s="320"/>
      <c r="J21" s="321"/>
    </row>
    <row r="22" spans="1:10" x14ac:dyDescent="0.25">
      <c r="A22" s="319"/>
      <c r="B22" s="320"/>
      <c r="C22" s="320"/>
      <c r="D22" s="320"/>
      <c r="E22" s="320"/>
      <c r="F22" s="320"/>
      <c r="G22" s="320"/>
      <c r="H22" s="320"/>
      <c r="I22" s="320"/>
      <c r="J22" s="321"/>
    </row>
    <row r="23" spans="1:10" x14ac:dyDescent="0.25">
      <c r="A23" s="319"/>
      <c r="B23" s="320"/>
      <c r="C23" s="320"/>
      <c r="D23" s="320"/>
      <c r="E23" s="320"/>
      <c r="F23" s="320"/>
      <c r="G23" s="320"/>
      <c r="H23" s="320"/>
      <c r="I23" s="320"/>
      <c r="J23" s="321"/>
    </row>
    <row r="24" spans="1:10" x14ac:dyDescent="0.25">
      <c r="A24" s="322"/>
      <c r="B24" s="323"/>
      <c r="C24" s="323"/>
      <c r="D24" s="323"/>
      <c r="E24" s="323"/>
      <c r="F24" s="323"/>
      <c r="G24" s="323"/>
      <c r="H24" s="323"/>
      <c r="I24" s="323"/>
      <c r="J24" s="324"/>
    </row>
    <row r="25" spans="1:10" ht="15.6" x14ac:dyDescent="0.3">
      <c r="A25" s="676" t="s">
        <v>263</v>
      </c>
      <c r="B25" s="677"/>
      <c r="C25" s="677"/>
      <c r="D25" s="678"/>
      <c r="E25" s="676"/>
      <c r="F25" s="678"/>
      <c r="G25" s="676"/>
      <c r="H25" s="677"/>
      <c r="I25" s="677"/>
      <c r="J25" s="678"/>
    </row>
    <row r="26" spans="1:10" x14ac:dyDescent="0.25">
      <c r="A26" s="665" t="s">
        <v>264</v>
      </c>
      <c r="B26" s="666"/>
      <c r="C26" s="666"/>
      <c r="D26" s="666"/>
      <c r="E26" s="666"/>
      <c r="F26" s="666"/>
      <c r="G26" s="666"/>
      <c r="H26" s="666"/>
      <c r="I26" s="666"/>
      <c r="J26" s="667"/>
    </row>
    <row r="27" spans="1:10" x14ac:dyDescent="0.25">
      <c r="A27" s="668"/>
      <c r="B27" s="669"/>
      <c r="C27" s="669"/>
      <c r="D27" s="669"/>
      <c r="E27" s="669"/>
      <c r="F27" s="669"/>
      <c r="G27" s="669"/>
      <c r="H27" s="669"/>
      <c r="I27" s="669"/>
      <c r="J27" s="670"/>
    </row>
    <row r="28" spans="1:10" x14ac:dyDescent="0.25">
      <c r="A28" s="671"/>
      <c r="B28" s="672"/>
      <c r="C28" s="672"/>
      <c r="D28" s="672"/>
      <c r="E28" s="672"/>
      <c r="F28" s="672"/>
      <c r="G28" s="672"/>
      <c r="H28" s="672"/>
      <c r="I28" s="672"/>
      <c r="J28" s="673"/>
    </row>
    <row r="29" spans="1:10" x14ac:dyDescent="0.25">
      <c r="A29" s="662"/>
      <c r="B29" s="317"/>
      <c r="C29" s="317"/>
      <c r="D29" s="317"/>
      <c r="E29" s="317"/>
      <c r="F29" s="317"/>
      <c r="G29" s="317"/>
      <c r="H29" s="317"/>
      <c r="I29" s="317"/>
      <c r="J29" s="318"/>
    </row>
    <row r="30" spans="1:10" x14ac:dyDescent="0.25">
      <c r="A30" s="319"/>
      <c r="B30" s="320"/>
      <c r="C30" s="320"/>
      <c r="D30" s="320"/>
      <c r="E30" s="320"/>
      <c r="F30" s="320"/>
      <c r="G30" s="320"/>
      <c r="H30" s="320"/>
      <c r="I30" s="320"/>
      <c r="J30" s="321"/>
    </row>
    <row r="31" spans="1:10" x14ac:dyDescent="0.25">
      <c r="A31" s="319"/>
      <c r="B31" s="320"/>
      <c r="C31" s="320"/>
      <c r="D31" s="320"/>
      <c r="E31" s="320"/>
      <c r="F31" s="320"/>
      <c r="G31" s="320"/>
      <c r="H31" s="320"/>
      <c r="I31" s="320"/>
      <c r="J31" s="321"/>
    </row>
    <row r="32" spans="1:10" x14ac:dyDescent="0.25">
      <c r="A32" s="319"/>
      <c r="B32" s="320"/>
      <c r="C32" s="320"/>
      <c r="D32" s="320"/>
      <c r="E32" s="320"/>
      <c r="F32" s="320"/>
      <c r="G32" s="320"/>
      <c r="H32" s="320"/>
      <c r="I32" s="320"/>
      <c r="J32" s="321"/>
    </row>
    <row r="33" spans="1:10" x14ac:dyDescent="0.25">
      <c r="A33" s="319"/>
      <c r="B33" s="320"/>
      <c r="C33" s="320"/>
      <c r="D33" s="320"/>
      <c r="E33" s="320"/>
      <c r="F33" s="320"/>
      <c r="G33" s="320"/>
      <c r="H33" s="320"/>
      <c r="I33" s="320"/>
      <c r="J33" s="321"/>
    </row>
    <row r="34" spans="1:10" x14ac:dyDescent="0.25">
      <c r="A34" s="319"/>
      <c r="B34" s="320"/>
      <c r="C34" s="320"/>
      <c r="D34" s="320"/>
      <c r="E34" s="320"/>
      <c r="F34" s="320"/>
      <c r="G34" s="320"/>
      <c r="H34" s="320"/>
      <c r="I34" s="320"/>
      <c r="J34" s="321"/>
    </row>
    <row r="35" spans="1:10" x14ac:dyDescent="0.25">
      <c r="A35" s="319"/>
      <c r="B35" s="320"/>
      <c r="C35" s="320"/>
      <c r="D35" s="320"/>
      <c r="E35" s="320"/>
      <c r="F35" s="320"/>
      <c r="G35" s="320"/>
      <c r="H35" s="320"/>
      <c r="I35" s="320"/>
      <c r="J35" s="321"/>
    </row>
    <row r="36" spans="1:10" x14ac:dyDescent="0.25">
      <c r="A36" s="319"/>
      <c r="B36" s="320"/>
      <c r="C36" s="320"/>
      <c r="D36" s="320"/>
      <c r="E36" s="320"/>
      <c r="F36" s="320"/>
      <c r="G36" s="320"/>
      <c r="H36" s="320"/>
      <c r="I36" s="320"/>
      <c r="J36" s="321"/>
    </row>
    <row r="37" spans="1:10" x14ac:dyDescent="0.25">
      <c r="A37" s="319"/>
      <c r="B37" s="320"/>
      <c r="C37" s="320"/>
      <c r="D37" s="320"/>
      <c r="E37" s="320"/>
      <c r="F37" s="320"/>
      <c r="G37" s="320"/>
      <c r="H37" s="320"/>
      <c r="I37" s="320"/>
      <c r="J37" s="321"/>
    </row>
    <row r="38" spans="1:10" x14ac:dyDescent="0.25">
      <c r="A38" s="319"/>
      <c r="B38" s="320"/>
      <c r="C38" s="320"/>
      <c r="D38" s="320"/>
      <c r="E38" s="320"/>
      <c r="F38" s="320"/>
      <c r="G38" s="320"/>
      <c r="H38" s="320"/>
      <c r="I38" s="320"/>
      <c r="J38" s="321"/>
    </row>
    <row r="39" spans="1:10" x14ac:dyDescent="0.25">
      <c r="A39" s="319"/>
      <c r="B39" s="320"/>
      <c r="C39" s="320"/>
      <c r="D39" s="320"/>
      <c r="E39" s="320"/>
      <c r="F39" s="320"/>
      <c r="G39" s="320"/>
      <c r="H39" s="320"/>
      <c r="I39" s="320"/>
      <c r="J39" s="321"/>
    </row>
    <row r="40" spans="1:10" x14ac:dyDescent="0.25">
      <c r="A40" s="319"/>
      <c r="B40" s="320"/>
      <c r="C40" s="320"/>
      <c r="D40" s="320"/>
      <c r="E40" s="320"/>
      <c r="F40" s="320"/>
      <c r="G40" s="320"/>
      <c r="H40" s="320"/>
      <c r="I40" s="320"/>
      <c r="J40" s="321"/>
    </row>
    <row r="41" spans="1:10" x14ac:dyDescent="0.25">
      <c r="A41" s="319"/>
      <c r="B41" s="320"/>
      <c r="C41" s="320"/>
      <c r="D41" s="320"/>
      <c r="E41" s="320"/>
      <c r="F41" s="320"/>
      <c r="G41" s="320"/>
      <c r="H41" s="320"/>
      <c r="I41" s="320"/>
      <c r="J41" s="321"/>
    </row>
    <row r="42" spans="1:10" x14ac:dyDescent="0.25">
      <c r="A42" s="319"/>
      <c r="B42" s="320"/>
      <c r="C42" s="320"/>
      <c r="D42" s="320"/>
      <c r="E42" s="320"/>
      <c r="F42" s="320"/>
      <c r="G42" s="320"/>
      <c r="H42" s="320"/>
      <c r="I42" s="320"/>
      <c r="J42" s="321"/>
    </row>
    <row r="43" spans="1:10" x14ac:dyDescent="0.25">
      <c r="A43" s="322"/>
      <c r="B43" s="323"/>
      <c r="C43" s="323"/>
      <c r="D43" s="323"/>
      <c r="E43" s="323"/>
      <c r="F43" s="323"/>
      <c r="G43" s="323"/>
      <c r="H43" s="323"/>
      <c r="I43" s="323"/>
      <c r="J43" s="324"/>
    </row>
    <row r="44" spans="1:10" x14ac:dyDescent="0.25">
      <c r="A44" s="212"/>
      <c r="B44" s="212"/>
      <c r="C44" s="212"/>
      <c r="D44" s="212"/>
      <c r="E44" s="212"/>
      <c r="F44" s="212"/>
      <c r="G44" s="212"/>
      <c r="H44" s="212"/>
      <c r="I44" s="212"/>
      <c r="J44" s="212"/>
    </row>
    <row r="45" spans="1:10" x14ac:dyDescent="0.25">
      <c r="A45" s="212"/>
      <c r="B45" s="212"/>
      <c r="C45" s="212"/>
      <c r="D45" s="212"/>
      <c r="E45" s="212"/>
      <c r="F45" s="212"/>
      <c r="G45" s="212"/>
      <c r="H45" s="212"/>
      <c r="I45" s="212"/>
      <c r="J45" s="212"/>
    </row>
    <row r="46" spans="1:10" x14ac:dyDescent="0.25">
      <c r="A46" s="212"/>
      <c r="B46" s="212"/>
      <c r="C46" s="212"/>
      <c r="D46" s="212"/>
      <c r="E46" s="212"/>
      <c r="F46" s="212"/>
      <c r="G46" s="212"/>
      <c r="H46" s="212"/>
      <c r="I46" s="212"/>
      <c r="J46" s="212"/>
    </row>
    <row r="47" spans="1:10" x14ac:dyDescent="0.25">
      <c r="A47" s="212"/>
      <c r="B47" s="212"/>
      <c r="C47" s="212"/>
      <c r="D47" s="212"/>
      <c r="E47" s="212"/>
      <c r="F47" s="212"/>
      <c r="G47" s="212"/>
      <c r="H47" s="212"/>
      <c r="I47" s="212"/>
      <c r="J47" s="212"/>
    </row>
    <row r="48" spans="1:10" x14ac:dyDescent="0.25">
      <c r="A48" s="212"/>
      <c r="B48" s="212"/>
      <c r="C48" s="212"/>
      <c r="D48" s="212"/>
      <c r="E48" s="212"/>
      <c r="F48" s="212"/>
      <c r="G48" s="212"/>
      <c r="H48" s="212"/>
      <c r="I48" s="212"/>
      <c r="J48" s="212"/>
    </row>
    <row r="49" spans="1:10" x14ac:dyDescent="0.25">
      <c r="A49" s="212"/>
      <c r="B49" s="212"/>
      <c r="C49" s="212"/>
      <c r="D49" s="212"/>
      <c r="E49" s="212"/>
      <c r="F49" s="212"/>
      <c r="G49" s="212"/>
      <c r="H49" s="212"/>
      <c r="I49" s="212"/>
      <c r="J49" s="212"/>
    </row>
    <row r="50" spans="1:10" x14ac:dyDescent="0.25">
      <c r="A50" s="212"/>
      <c r="B50" s="212"/>
      <c r="C50" s="212"/>
      <c r="D50" s="212"/>
      <c r="E50" s="212"/>
      <c r="F50" s="212"/>
      <c r="G50" s="212"/>
      <c r="H50" s="212"/>
      <c r="I50" s="212"/>
      <c r="J50" s="212"/>
    </row>
    <row r="51" spans="1:10" x14ac:dyDescent="0.25">
      <c r="A51" s="212"/>
      <c r="B51" s="212"/>
      <c r="C51" s="212"/>
      <c r="D51" s="212"/>
      <c r="E51" s="212"/>
      <c r="F51" s="212"/>
      <c r="G51" s="212"/>
      <c r="H51" s="212"/>
      <c r="I51" s="212"/>
      <c r="J51" s="212"/>
    </row>
    <row r="52" spans="1:10" x14ac:dyDescent="0.25">
      <c r="A52" s="33"/>
      <c r="B52" s="33"/>
      <c r="C52" s="33"/>
      <c r="D52" s="33"/>
      <c r="E52" s="33"/>
      <c r="F52" s="33"/>
      <c r="G52" s="33"/>
      <c r="H52" s="33"/>
      <c r="I52" s="33"/>
      <c r="J52" s="33"/>
    </row>
    <row r="53" spans="1:10" x14ac:dyDescent="0.25">
      <c r="A53" s="674" t="s">
        <v>265</v>
      </c>
      <c r="B53" s="674"/>
      <c r="C53" s="674"/>
      <c r="D53" s="674"/>
      <c r="E53" s="674"/>
      <c r="F53" s="674"/>
      <c r="G53" s="674"/>
      <c r="H53" s="674"/>
      <c r="I53" s="674"/>
      <c r="J53" s="674"/>
    </row>
    <row r="54" spans="1:10" x14ac:dyDescent="0.25">
      <c r="A54" s="675" t="s">
        <v>266</v>
      </c>
      <c r="B54" s="675"/>
      <c r="C54" s="675"/>
      <c r="D54" s="675"/>
      <c r="E54" s="675"/>
      <c r="F54" s="675"/>
      <c r="G54" s="675"/>
      <c r="H54" s="675"/>
      <c r="I54" s="675"/>
      <c r="J54" s="675"/>
    </row>
    <row r="55" spans="1:10" x14ac:dyDescent="0.25">
      <c r="A55" s="33"/>
      <c r="B55" s="33"/>
      <c r="C55" s="33"/>
      <c r="D55" s="33"/>
      <c r="E55" s="33"/>
      <c r="F55" s="33"/>
      <c r="G55" s="33"/>
      <c r="H55" s="33"/>
      <c r="I55" s="33"/>
      <c r="J55" s="33"/>
    </row>
    <row r="56" spans="1:10" x14ac:dyDescent="0.25">
      <c r="A56" s="612" t="s">
        <v>242</v>
      </c>
      <c r="B56" s="612"/>
      <c r="C56" s="612"/>
      <c r="D56" s="612"/>
      <c r="E56" s="663" t="str">
        <f>County</f>
        <v>Ventura</v>
      </c>
      <c r="F56" s="663"/>
      <c r="G56" s="663"/>
      <c r="H56" s="663"/>
      <c r="I56" s="33"/>
      <c r="J56" s="33"/>
    </row>
    <row r="57" spans="1:10" x14ac:dyDescent="0.25">
      <c r="A57" s="33"/>
      <c r="B57" s="33"/>
      <c r="C57" s="33"/>
      <c r="D57" s="33"/>
      <c r="E57" s="33"/>
      <c r="F57" s="33"/>
      <c r="G57" s="33"/>
      <c r="H57" s="33"/>
      <c r="I57" s="33"/>
      <c r="J57" s="33"/>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267</v>
      </c>
      <c r="B1" s="22" t="str">
        <f>County</f>
        <v>Ventura</v>
      </c>
    </row>
    <row r="2" spans="1:2" x14ac:dyDescent="0.25">
      <c r="A2" t="s">
        <v>268</v>
      </c>
      <c r="B2" s="24">
        <f>Reportdate</f>
        <v>44124</v>
      </c>
    </row>
    <row r="3" spans="1:2" x14ac:dyDescent="0.25">
      <c r="A3" t="s">
        <v>269</v>
      </c>
      <c r="B3" s="23" t="e">
        <f>Chief</f>
        <v>#REF!</v>
      </c>
    </row>
    <row r="4" spans="1:2" x14ac:dyDescent="0.25">
      <c r="A4" t="s">
        <v>270</v>
      </c>
      <c r="B4" t="e">
        <f>Chiefphone2</f>
        <v>#REF!</v>
      </c>
    </row>
    <row r="5" spans="1:2" x14ac:dyDescent="0.25">
      <c r="A5" t="s">
        <v>271</v>
      </c>
      <c r="B5" s="10" t="e">
        <f>Address</f>
        <v>#REF!</v>
      </c>
    </row>
    <row r="6" spans="1:2" x14ac:dyDescent="0.25">
      <c r="A6" t="s">
        <v>272</v>
      </c>
      <c r="B6" s="10" t="e">
        <f>City</f>
        <v>#REF!</v>
      </c>
    </row>
    <row r="7" spans="1:2" x14ac:dyDescent="0.25">
      <c r="A7" t="s">
        <v>273</v>
      </c>
      <c r="B7" s="9" t="e">
        <f>ZIP</f>
        <v>#REF!</v>
      </c>
    </row>
    <row r="8" spans="1:2" x14ac:dyDescent="0.25">
      <c r="A8" t="s">
        <v>274</v>
      </c>
      <c r="B8" s="10" t="e">
        <f>Chiefemail2</f>
        <v>#REF!</v>
      </c>
    </row>
    <row r="9" spans="1:2" x14ac:dyDescent="0.25">
      <c r="A9" t="s">
        <v>275</v>
      </c>
      <c r="B9" t="str">
        <f>primcontact</f>
        <v>Carrie Vredenburgh</v>
      </c>
    </row>
    <row r="10" spans="1:2" x14ac:dyDescent="0.25">
      <c r="A10" t="s">
        <v>276</v>
      </c>
      <c r="B10" t="str">
        <f>primarytitle</f>
        <v>Division Manager</v>
      </c>
    </row>
    <row r="11" spans="1:2" x14ac:dyDescent="0.25">
      <c r="A11" t="s">
        <v>277</v>
      </c>
      <c r="B11" t="str">
        <f>primphone</f>
        <v>805-973-5123</v>
      </c>
    </row>
    <row r="12" spans="1:2" x14ac:dyDescent="0.25">
      <c r="A12" t="s">
        <v>278</v>
      </c>
      <c r="B12" s="10" t="str">
        <f>preemail</f>
        <v>carrie.vredenburgh@ventura.org</v>
      </c>
    </row>
    <row r="13" spans="1:2" x14ac:dyDescent="0.25">
      <c r="A13" t="s">
        <v>279</v>
      </c>
      <c r="B13" t="str">
        <f>seccontact</f>
        <v>Sandra Carrillo</v>
      </c>
    </row>
    <row r="14" spans="1:2" x14ac:dyDescent="0.25">
      <c r="A14" t="s">
        <v>280</v>
      </c>
      <c r="B14" t="str">
        <f>seccontitle</f>
        <v>Division Manager</v>
      </c>
    </row>
    <row r="15" spans="1:2" x14ac:dyDescent="0.25">
      <c r="A15" t="s">
        <v>281</v>
      </c>
      <c r="B15" t="str">
        <f>secphone</f>
        <v>805-981-5545</v>
      </c>
    </row>
    <row r="16" spans="1:2" x14ac:dyDescent="0.25">
      <c r="A16" t="s">
        <v>282</v>
      </c>
      <c r="B16" t="str">
        <f>secemail</f>
        <v>sandra.carrillo@ventura.org</v>
      </c>
    </row>
    <row r="17" spans="1:2" x14ac:dyDescent="0.25">
      <c r="A17" t="s">
        <v>283</v>
      </c>
      <c r="B17" t="e">
        <f>t1yobgtot+t2yobgtot+t3yobgtot+t4yobgtot+t5yobgtot+t6yobgtot+t7yobgtot+t8yobgtot+t9yobgtot+t10yobgtot</f>
        <v>#REF!</v>
      </c>
    </row>
    <row r="18" spans="1:2" x14ac:dyDescent="0.25">
      <c r="A18" t="s">
        <v>284</v>
      </c>
      <c r="B18" t="e">
        <f>t1jjcpatot+t2jjcpatot+t3jjcpatot+t4jjcpatot+t5jjcpatot+t6jjcpatot+t7jjcpatot+t8jjcpatot+t9jjcpatot+t10jjcpatot</f>
        <v>#REF!</v>
      </c>
    </row>
    <row r="19" spans="1:2" x14ac:dyDescent="0.25">
      <c r="A19" t="s">
        <v>285</v>
      </c>
      <c r="B19" t="e">
        <f>t1othertot+t2othertot+t3othertot+t4othertot+t5othertot+t6othertot+t7othertot+t8othertot+t9othertot+t10othertot</f>
        <v>#REF!</v>
      </c>
    </row>
    <row r="20" spans="1:2" x14ac:dyDescent="0.25">
      <c r="A20" t="s">
        <v>286</v>
      </c>
      <c r="B20" t="e">
        <f>t1casecount+t2casecount+t3casecount+t4casecount+t5casecount+t6casecount+t7casecount+t8casecount+t9casecount+t10casecount</f>
        <v>#REF!</v>
      </c>
    </row>
    <row r="21" spans="1:2" x14ac:dyDescent="0.25">
      <c r="A21" t="s">
        <v>287</v>
      </c>
      <c r="B21" s="10" t="e">
        <f>Numecodet1</f>
        <v>#REF!</v>
      </c>
    </row>
    <row r="22" spans="1:2" x14ac:dyDescent="0.25">
      <c r="A22" t="s">
        <v>288</v>
      </c>
      <c r="B22" s="10" t="e">
        <f>Numealtt1</f>
        <v>#REF!</v>
      </c>
    </row>
    <row r="23" spans="1:2" x14ac:dyDescent="0.25">
      <c r="A23" t="s">
        <v>289</v>
      </c>
      <c r="B23" s="11">
        <f>t1yobgsal</f>
        <v>0</v>
      </c>
    </row>
    <row r="24" spans="1:2" x14ac:dyDescent="0.25">
      <c r="A24" t="s">
        <v>290</v>
      </c>
      <c r="B24" s="11">
        <f>t1yobgserv</f>
        <v>0</v>
      </c>
    </row>
    <row r="25" spans="1:2" x14ac:dyDescent="0.25">
      <c r="A25" t="s">
        <v>291</v>
      </c>
      <c r="B25" s="11">
        <f>t1yobgprof</f>
        <v>0</v>
      </c>
    </row>
    <row r="26" spans="1:2" x14ac:dyDescent="0.25">
      <c r="A26" t="s">
        <v>292</v>
      </c>
      <c r="B26" s="11">
        <f>t1yobgcbo</f>
        <v>500000</v>
      </c>
    </row>
    <row r="27" spans="1:2" x14ac:dyDescent="0.25">
      <c r="A27" t="s">
        <v>293</v>
      </c>
      <c r="B27" s="11">
        <f>t1yobgequip</f>
        <v>0</v>
      </c>
    </row>
    <row r="28" spans="1:2" x14ac:dyDescent="0.25">
      <c r="A28" t="s">
        <v>294</v>
      </c>
      <c r="B28" s="11">
        <f>t1yobgadmin</f>
        <v>33165</v>
      </c>
    </row>
    <row r="29" spans="1:2" x14ac:dyDescent="0.25">
      <c r="A29" t="s">
        <v>295</v>
      </c>
      <c r="B29" s="11">
        <f>t1yobgothr1</f>
        <v>0</v>
      </c>
    </row>
    <row r="30" spans="1:2" x14ac:dyDescent="0.25">
      <c r="A30" t="s">
        <v>296</v>
      </c>
      <c r="B30" s="11">
        <f>t1yobgothr2</f>
        <v>0</v>
      </c>
    </row>
    <row r="31" spans="1:2" x14ac:dyDescent="0.25">
      <c r="A31" t="s">
        <v>297</v>
      </c>
      <c r="B31" s="11">
        <f>t1yobgothr3</f>
        <v>0</v>
      </c>
    </row>
    <row r="32" spans="1:2" x14ac:dyDescent="0.25">
      <c r="A32" t="s">
        <v>298</v>
      </c>
      <c r="B32" s="11">
        <f>t1yobgtot</f>
        <v>533165</v>
      </c>
    </row>
    <row r="33" spans="1:2" x14ac:dyDescent="0.25">
      <c r="A33" t="s">
        <v>299</v>
      </c>
      <c r="B33" s="11">
        <f>t1jjcpasal</f>
        <v>0</v>
      </c>
    </row>
    <row r="34" spans="1:2" x14ac:dyDescent="0.25">
      <c r="A34" t="s">
        <v>300</v>
      </c>
      <c r="B34" s="11">
        <f>t1jjcpaserv</f>
        <v>0</v>
      </c>
    </row>
    <row r="35" spans="1:2" x14ac:dyDescent="0.25">
      <c r="A35" t="s">
        <v>301</v>
      </c>
      <c r="B35" s="11">
        <f>t1jjcpaprof</f>
        <v>0</v>
      </c>
    </row>
    <row r="36" spans="1:2" x14ac:dyDescent="0.25">
      <c r="A36" t="s">
        <v>302</v>
      </c>
      <c r="B36" s="11">
        <f>t1jjcpacbo</f>
        <v>0</v>
      </c>
    </row>
    <row r="37" spans="1:2" x14ac:dyDescent="0.25">
      <c r="A37" t="s">
        <v>303</v>
      </c>
      <c r="B37" s="11">
        <f>t1jjcpaequip</f>
        <v>0</v>
      </c>
    </row>
    <row r="38" spans="1:2" x14ac:dyDescent="0.25">
      <c r="A38" t="s">
        <v>304</v>
      </c>
      <c r="B38" s="11">
        <f>t1jjcpaadmin</f>
        <v>0</v>
      </c>
    </row>
    <row r="39" spans="1:2" x14ac:dyDescent="0.25">
      <c r="A39" t="s">
        <v>305</v>
      </c>
      <c r="B39" s="11">
        <f>t1jjcpaothr1</f>
        <v>0</v>
      </c>
    </row>
    <row r="40" spans="1:2" x14ac:dyDescent="0.25">
      <c r="A40" t="s">
        <v>306</v>
      </c>
      <c r="B40" s="11">
        <f>t1jjcpaothr2</f>
        <v>0</v>
      </c>
    </row>
    <row r="41" spans="1:2" x14ac:dyDescent="0.25">
      <c r="A41" t="s">
        <v>307</v>
      </c>
      <c r="B41" s="11">
        <f>t1jjcpaothr3</f>
        <v>0</v>
      </c>
    </row>
    <row r="42" spans="1:2" x14ac:dyDescent="0.25">
      <c r="A42" t="s">
        <v>308</v>
      </c>
      <c r="B42" s="11">
        <f>t1jjcpatot</f>
        <v>0</v>
      </c>
    </row>
    <row r="43" spans="1:2" x14ac:dyDescent="0.25">
      <c r="A43" t="s">
        <v>309</v>
      </c>
      <c r="B43" s="11">
        <f>t1othersal</f>
        <v>0</v>
      </c>
    </row>
    <row r="44" spans="1:2" x14ac:dyDescent="0.25">
      <c r="A44" t="s">
        <v>310</v>
      </c>
      <c r="B44" s="11">
        <f>t1otherserv</f>
        <v>0</v>
      </c>
    </row>
    <row r="45" spans="1:2" x14ac:dyDescent="0.25">
      <c r="A45" t="s">
        <v>311</v>
      </c>
      <c r="B45" s="11">
        <f>t1otherprof</f>
        <v>0</v>
      </c>
    </row>
    <row r="46" spans="1:2" x14ac:dyDescent="0.25">
      <c r="A46" t="s">
        <v>312</v>
      </c>
      <c r="B46" s="11">
        <f>t1othercbo</f>
        <v>0</v>
      </c>
    </row>
    <row r="47" spans="1:2" x14ac:dyDescent="0.25">
      <c r="A47" t="s">
        <v>313</v>
      </c>
      <c r="B47" s="11">
        <f>t1otherequip</f>
        <v>0</v>
      </c>
    </row>
    <row r="48" spans="1:2" x14ac:dyDescent="0.25">
      <c r="A48" t="s">
        <v>314</v>
      </c>
      <c r="B48" s="11">
        <f>t1otheradmin</f>
        <v>0</v>
      </c>
    </row>
    <row r="49" spans="1:2" x14ac:dyDescent="0.25">
      <c r="A49" t="s">
        <v>315</v>
      </c>
      <c r="B49" s="11">
        <f>t1otherothr1</f>
        <v>0</v>
      </c>
    </row>
    <row r="50" spans="1:2" x14ac:dyDescent="0.25">
      <c r="A50" t="s">
        <v>316</v>
      </c>
      <c r="B50" s="11">
        <f>t1otherothr2</f>
        <v>0</v>
      </c>
    </row>
    <row r="51" spans="1:2" x14ac:dyDescent="0.25">
      <c r="A51" t="s">
        <v>317</v>
      </c>
      <c r="B51" s="11">
        <f>t1otherothr3</f>
        <v>0</v>
      </c>
    </row>
    <row r="52" spans="1:2" x14ac:dyDescent="0.25">
      <c r="A52" t="s">
        <v>318</v>
      </c>
      <c r="B52" s="11">
        <f>t1othertot</f>
        <v>0</v>
      </c>
    </row>
    <row r="53" spans="1:2" x14ac:dyDescent="0.25">
      <c r="A53" t="s">
        <v>319</v>
      </c>
      <c r="B53" s="9" t="e">
        <f>t1casecount</f>
        <v>#REF!</v>
      </c>
    </row>
    <row r="54" spans="1:2" x14ac:dyDescent="0.25">
      <c r="A54" t="s">
        <v>320</v>
      </c>
      <c r="B54" s="12" t="e">
        <f>t1yobgpercap</f>
        <v>#REF!</v>
      </c>
    </row>
    <row r="55" spans="1:2" x14ac:dyDescent="0.25">
      <c r="A55" t="s">
        <v>321</v>
      </c>
      <c r="B55" s="12" t="e">
        <f>t1totpercap</f>
        <v>#REF!</v>
      </c>
    </row>
    <row r="56" spans="1:2" x14ac:dyDescent="0.25">
      <c r="A56" t="s">
        <v>322</v>
      </c>
      <c r="B56" s="9" t="e">
        <f>t1youth1</f>
        <v>#REF!</v>
      </c>
    </row>
    <row r="57" spans="1:2" x14ac:dyDescent="0.25">
      <c r="A57" t="s">
        <v>323</v>
      </c>
      <c r="B57" s="9" t="e">
        <f>t1youth2</f>
        <v>#REF!</v>
      </c>
    </row>
    <row r="58" spans="1:2" x14ac:dyDescent="0.25">
      <c r="A58" t="s">
        <v>324</v>
      </c>
      <c r="B58" s="9" t="e">
        <f>t1youth3</f>
        <v>#REF!</v>
      </c>
    </row>
    <row r="59" spans="1:2" x14ac:dyDescent="0.25">
      <c r="A59" t="s">
        <v>325</v>
      </c>
      <c r="B59" s="9" t="e">
        <f>t1youth4</f>
        <v>#REF!</v>
      </c>
    </row>
    <row r="60" spans="1:2" x14ac:dyDescent="0.25">
      <c r="A60" t="s">
        <v>326</v>
      </c>
      <c r="B60" s="9" t="e">
        <f>t1youth5</f>
        <v>#REF!</v>
      </c>
    </row>
    <row r="61" spans="1:2" x14ac:dyDescent="0.25">
      <c r="A61" t="s">
        <v>327</v>
      </c>
      <c r="B61" s="9" t="e">
        <f>t1youth6</f>
        <v>#REF!</v>
      </c>
    </row>
    <row r="62" spans="1:2" x14ac:dyDescent="0.25">
      <c r="A62" t="s">
        <v>328</v>
      </c>
      <c r="B62" s="13" t="e">
        <f>Numecodet2</f>
        <v>#REF!</v>
      </c>
    </row>
    <row r="63" spans="1:2" x14ac:dyDescent="0.25">
      <c r="A63" t="s">
        <v>329</v>
      </c>
      <c r="B63" s="10" t="e">
        <f>Numealtt2</f>
        <v>#REF!</v>
      </c>
    </row>
    <row r="64" spans="1:2" x14ac:dyDescent="0.25">
      <c r="A64" t="s">
        <v>330</v>
      </c>
      <c r="B64" s="11" t="e">
        <f>t2yobgsal</f>
        <v>#REF!</v>
      </c>
    </row>
    <row r="65" spans="1:2" x14ac:dyDescent="0.25">
      <c r="A65" t="s">
        <v>331</v>
      </c>
      <c r="B65" s="11" t="e">
        <f>t2yobgserv</f>
        <v>#REF!</v>
      </c>
    </row>
    <row r="66" spans="1:2" x14ac:dyDescent="0.25">
      <c r="A66" t="s">
        <v>332</v>
      </c>
      <c r="B66" s="11" t="e">
        <f>t2yobgprof</f>
        <v>#REF!</v>
      </c>
    </row>
    <row r="67" spans="1:2" x14ac:dyDescent="0.25">
      <c r="A67" t="s">
        <v>333</v>
      </c>
      <c r="B67" s="11" t="e">
        <f>t2yobgcbo</f>
        <v>#REF!</v>
      </c>
    </row>
    <row r="68" spans="1:2" x14ac:dyDescent="0.25">
      <c r="A68" t="s">
        <v>334</v>
      </c>
      <c r="B68" s="11" t="e">
        <f>t2yobgequip</f>
        <v>#REF!</v>
      </c>
    </row>
    <row r="69" spans="1:2" x14ac:dyDescent="0.25">
      <c r="A69" t="s">
        <v>335</v>
      </c>
      <c r="B69" s="11" t="e">
        <f>t2yobgadmin</f>
        <v>#REF!</v>
      </c>
    </row>
    <row r="70" spans="1:2" x14ac:dyDescent="0.25">
      <c r="A70" t="s">
        <v>336</v>
      </c>
      <c r="B70" s="11" t="e">
        <f>t2yobgothr1</f>
        <v>#REF!</v>
      </c>
    </row>
    <row r="71" spans="1:2" x14ac:dyDescent="0.25">
      <c r="A71" t="s">
        <v>337</v>
      </c>
      <c r="B71" s="11" t="e">
        <f>t2yobgothr2</f>
        <v>#REF!</v>
      </c>
    </row>
    <row r="72" spans="1:2" x14ac:dyDescent="0.25">
      <c r="A72" t="s">
        <v>338</v>
      </c>
      <c r="B72" s="11" t="e">
        <f>t2yobgothr3</f>
        <v>#REF!</v>
      </c>
    </row>
    <row r="73" spans="1:2" x14ac:dyDescent="0.25">
      <c r="A73" t="s">
        <v>339</v>
      </c>
      <c r="B73" s="11" t="e">
        <f>t2yobgtot</f>
        <v>#REF!</v>
      </c>
    </row>
    <row r="74" spans="1:2" x14ac:dyDescent="0.25">
      <c r="A74" t="s">
        <v>340</v>
      </c>
      <c r="B74" s="11" t="e">
        <f>t2jjcpasal</f>
        <v>#REF!</v>
      </c>
    </row>
    <row r="75" spans="1:2" x14ac:dyDescent="0.25">
      <c r="A75" t="s">
        <v>341</v>
      </c>
      <c r="B75" s="11" t="e">
        <f>t2jjcpaserv</f>
        <v>#REF!</v>
      </c>
    </row>
    <row r="76" spans="1:2" x14ac:dyDescent="0.25">
      <c r="A76" t="s">
        <v>342</v>
      </c>
      <c r="B76" s="11" t="e">
        <f>t2jjcpaprof</f>
        <v>#REF!</v>
      </c>
    </row>
    <row r="77" spans="1:2" x14ac:dyDescent="0.25">
      <c r="A77" t="s">
        <v>343</v>
      </c>
      <c r="B77" s="11" t="e">
        <f>t2jjcpacbo</f>
        <v>#REF!</v>
      </c>
    </row>
    <row r="78" spans="1:2" x14ac:dyDescent="0.25">
      <c r="A78" t="s">
        <v>344</v>
      </c>
      <c r="B78" s="11" t="e">
        <f>t2jjcpaequip</f>
        <v>#REF!</v>
      </c>
    </row>
    <row r="79" spans="1:2" x14ac:dyDescent="0.25">
      <c r="A79" t="s">
        <v>345</v>
      </c>
      <c r="B79" s="11" t="e">
        <f>t2jjcpaadmin</f>
        <v>#REF!</v>
      </c>
    </row>
    <row r="80" spans="1:2" x14ac:dyDescent="0.25">
      <c r="A80" t="s">
        <v>346</v>
      </c>
      <c r="B80" s="11" t="e">
        <f>t2jjcpaothr1</f>
        <v>#REF!</v>
      </c>
    </row>
    <row r="81" spans="1:2" x14ac:dyDescent="0.25">
      <c r="A81" t="s">
        <v>347</v>
      </c>
      <c r="B81" s="11" t="e">
        <f>t2jjcpaothr2</f>
        <v>#REF!</v>
      </c>
    </row>
    <row r="82" spans="1:2" x14ac:dyDescent="0.25">
      <c r="A82" t="s">
        <v>348</v>
      </c>
      <c r="B82" s="11" t="e">
        <f>t2jjcpaothr3</f>
        <v>#REF!</v>
      </c>
    </row>
    <row r="83" spans="1:2" x14ac:dyDescent="0.25">
      <c r="A83" t="s">
        <v>349</v>
      </c>
      <c r="B83" s="11" t="e">
        <f>t2jjcpatot</f>
        <v>#REF!</v>
      </c>
    </row>
    <row r="84" spans="1:2" x14ac:dyDescent="0.25">
      <c r="A84" t="s">
        <v>350</v>
      </c>
      <c r="B84" s="11" t="e">
        <f>t2othersal</f>
        <v>#REF!</v>
      </c>
    </row>
    <row r="85" spans="1:2" x14ac:dyDescent="0.25">
      <c r="A85" t="s">
        <v>351</v>
      </c>
      <c r="B85" s="11" t="e">
        <f>t2otherserv</f>
        <v>#REF!</v>
      </c>
    </row>
    <row r="86" spans="1:2" x14ac:dyDescent="0.25">
      <c r="A86" t="s">
        <v>352</v>
      </c>
      <c r="B86" s="11" t="e">
        <f>t2otherprof</f>
        <v>#REF!</v>
      </c>
    </row>
    <row r="87" spans="1:2" x14ac:dyDescent="0.25">
      <c r="A87" t="s">
        <v>353</v>
      </c>
      <c r="B87" s="11" t="e">
        <f>t2othercbo</f>
        <v>#REF!</v>
      </c>
    </row>
    <row r="88" spans="1:2" x14ac:dyDescent="0.25">
      <c r="A88" t="s">
        <v>354</v>
      </c>
      <c r="B88" s="11" t="e">
        <f>t2otherequip</f>
        <v>#REF!</v>
      </c>
    </row>
    <row r="89" spans="1:2" x14ac:dyDescent="0.25">
      <c r="A89" t="s">
        <v>355</v>
      </c>
      <c r="B89" s="11" t="e">
        <f>t2otheradmin</f>
        <v>#REF!</v>
      </c>
    </row>
    <row r="90" spans="1:2" x14ac:dyDescent="0.25">
      <c r="A90" t="s">
        <v>356</v>
      </c>
      <c r="B90" s="11" t="e">
        <f>t2otherothr1</f>
        <v>#REF!</v>
      </c>
    </row>
    <row r="91" spans="1:2" x14ac:dyDescent="0.25">
      <c r="A91" t="s">
        <v>357</v>
      </c>
      <c r="B91" s="11" t="e">
        <f>t2otherothr2</f>
        <v>#REF!</v>
      </c>
    </row>
    <row r="92" spans="1:2" x14ac:dyDescent="0.25">
      <c r="A92" t="s">
        <v>358</v>
      </c>
      <c r="B92" s="11" t="e">
        <f>t2otherothr3</f>
        <v>#REF!</v>
      </c>
    </row>
    <row r="93" spans="1:2" x14ac:dyDescent="0.25">
      <c r="A93" t="s">
        <v>359</v>
      </c>
      <c r="B93" s="11" t="e">
        <f>t2othertot</f>
        <v>#REF!</v>
      </c>
    </row>
    <row r="94" spans="1:2" x14ac:dyDescent="0.25">
      <c r="A94" t="s">
        <v>360</v>
      </c>
      <c r="B94" s="9" t="e">
        <f>t2casecount</f>
        <v>#REF!</v>
      </c>
    </row>
    <row r="95" spans="1:2" x14ac:dyDescent="0.25">
      <c r="A95" t="s">
        <v>361</v>
      </c>
      <c r="B95" s="12" t="e">
        <f>t2yobgpercap</f>
        <v>#REF!</v>
      </c>
    </row>
    <row r="96" spans="1:2" x14ac:dyDescent="0.25">
      <c r="A96" t="s">
        <v>362</v>
      </c>
      <c r="B96" s="12" t="e">
        <f>t2totpercap</f>
        <v>#REF!</v>
      </c>
    </row>
    <row r="97" spans="1:2" x14ac:dyDescent="0.25">
      <c r="A97" t="s">
        <v>363</v>
      </c>
      <c r="B97" s="9" t="e">
        <f>t2youth1</f>
        <v>#REF!</v>
      </c>
    </row>
    <row r="98" spans="1:2" x14ac:dyDescent="0.25">
      <c r="A98" t="s">
        <v>364</v>
      </c>
      <c r="B98" s="9" t="e">
        <f>t2youth2</f>
        <v>#REF!</v>
      </c>
    </row>
    <row r="99" spans="1:2" x14ac:dyDescent="0.25">
      <c r="A99" t="s">
        <v>365</v>
      </c>
      <c r="B99" s="9" t="e">
        <f>t2youth3</f>
        <v>#REF!</v>
      </c>
    </row>
    <row r="100" spans="1:2" x14ac:dyDescent="0.25">
      <c r="A100" t="s">
        <v>366</v>
      </c>
      <c r="B100" s="9" t="e">
        <f>t2youth4</f>
        <v>#REF!</v>
      </c>
    </row>
    <row r="101" spans="1:2" x14ac:dyDescent="0.25">
      <c r="A101" t="s">
        <v>367</v>
      </c>
      <c r="B101" s="9" t="e">
        <f>t2youth5</f>
        <v>#REF!</v>
      </c>
    </row>
    <row r="102" spans="1:2" x14ac:dyDescent="0.25">
      <c r="A102" t="s">
        <v>368</v>
      </c>
      <c r="B102" s="9" t="e">
        <f>t2youth6</f>
        <v>#REF!</v>
      </c>
    </row>
    <row r="103" spans="1:2" x14ac:dyDescent="0.25">
      <c r="A103" t="s">
        <v>369</v>
      </c>
      <c r="B103" s="13" t="e">
        <f>Numecodet3</f>
        <v>#REF!</v>
      </c>
    </row>
    <row r="104" spans="1:2" x14ac:dyDescent="0.25">
      <c r="A104" t="s">
        <v>370</v>
      </c>
      <c r="B104" s="10" t="e">
        <f>Numealtt3</f>
        <v>#REF!</v>
      </c>
    </row>
    <row r="105" spans="1:2" x14ac:dyDescent="0.25">
      <c r="A105" t="s">
        <v>371</v>
      </c>
      <c r="B105" s="11" t="e">
        <f>t3yobgsal</f>
        <v>#REF!</v>
      </c>
    </row>
    <row r="106" spans="1:2" x14ac:dyDescent="0.25">
      <c r="A106" t="s">
        <v>372</v>
      </c>
      <c r="B106" s="11" t="e">
        <f>t3yobgserv</f>
        <v>#REF!</v>
      </c>
    </row>
    <row r="107" spans="1:2" x14ac:dyDescent="0.25">
      <c r="A107" t="s">
        <v>373</v>
      </c>
      <c r="B107" s="11" t="e">
        <f>t3yobgprof</f>
        <v>#REF!</v>
      </c>
    </row>
    <row r="108" spans="1:2" x14ac:dyDescent="0.25">
      <c r="A108" t="s">
        <v>374</v>
      </c>
      <c r="B108" s="11" t="e">
        <f>t3yobgcbo</f>
        <v>#REF!</v>
      </c>
    </row>
    <row r="109" spans="1:2" x14ac:dyDescent="0.25">
      <c r="A109" t="s">
        <v>375</v>
      </c>
      <c r="B109" s="11" t="e">
        <f>t3yobgequip</f>
        <v>#REF!</v>
      </c>
    </row>
    <row r="110" spans="1:2" x14ac:dyDescent="0.25">
      <c r="A110" t="s">
        <v>376</v>
      </c>
      <c r="B110" s="11" t="e">
        <f>t3yobgadmin</f>
        <v>#REF!</v>
      </c>
    </row>
    <row r="111" spans="1:2" x14ac:dyDescent="0.25">
      <c r="A111" t="s">
        <v>377</v>
      </c>
      <c r="B111" s="11" t="e">
        <f>t3yobgothr1</f>
        <v>#REF!</v>
      </c>
    </row>
    <row r="112" spans="1:2" x14ac:dyDescent="0.25">
      <c r="A112" t="s">
        <v>378</v>
      </c>
      <c r="B112" s="11" t="e">
        <f>t3yobgothr2</f>
        <v>#REF!</v>
      </c>
    </row>
    <row r="113" spans="1:2" x14ac:dyDescent="0.25">
      <c r="A113" t="s">
        <v>379</v>
      </c>
      <c r="B113" s="11" t="e">
        <f>t3yobgothr3</f>
        <v>#REF!</v>
      </c>
    </row>
    <row r="114" spans="1:2" x14ac:dyDescent="0.25">
      <c r="A114" t="s">
        <v>380</v>
      </c>
      <c r="B114" s="11" t="e">
        <f>t3yobgtot</f>
        <v>#REF!</v>
      </c>
    </row>
    <row r="115" spans="1:2" x14ac:dyDescent="0.25">
      <c r="A115" t="s">
        <v>381</v>
      </c>
      <c r="B115" s="11" t="e">
        <f>t3jjcpasal</f>
        <v>#REF!</v>
      </c>
    </row>
    <row r="116" spans="1:2" x14ac:dyDescent="0.25">
      <c r="A116" t="s">
        <v>382</v>
      </c>
      <c r="B116" s="11" t="e">
        <f>t3jjcpaserv</f>
        <v>#REF!</v>
      </c>
    </row>
    <row r="117" spans="1:2" x14ac:dyDescent="0.25">
      <c r="A117" t="s">
        <v>383</v>
      </c>
      <c r="B117" s="11" t="e">
        <f>t3jjcpaprof</f>
        <v>#REF!</v>
      </c>
    </row>
    <row r="118" spans="1:2" x14ac:dyDescent="0.25">
      <c r="A118" t="s">
        <v>384</v>
      </c>
      <c r="B118" s="11" t="e">
        <f>t3jjcpacbo</f>
        <v>#REF!</v>
      </c>
    </row>
    <row r="119" spans="1:2" x14ac:dyDescent="0.25">
      <c r="A119" t="s">
        <v>385</v>
      </c>
      <c r="B119" s="11" t="e">
        <f>t3jjcpaequip</f>
        <v>#REF!</v>
      </c>
    </row>
    <row r="120" spans="1:2" x14ac:dyDescent="0.25">
      <c r="A120" t="s">
        <v>386</v>
      </c>
      <c r="B120" s="11" t="e">
        <f>t3jjcpaadmin</f>
        <v>#REF!</v>
      </c>
    </row>
    <row r="121" spans="1:2" x14ac:dyDescent="0.25">
      <c r="A121" t="s">
        <v>387</v>
      </c>
      <c r="B121" s="11" t="e">
        <f>t3jjcpaothr1</f>
        <v>#REF!</v>
      </c>
    </row>
    <row r="122" spans="1:2" x14ac:dyDescent="0.25">
      <c r="A122" t="s">
        <v>388</v>
      </c>
      <c r="B122" s="11" t="e">
        <f>t3jjcpaothr2</f>
        <v>#REF!</v>
      </c>
    </row>
    <row r="123" spans="1:2" x14ac:dyDescent="0.25">
      <c r="A123" t="s">
        <v>389</v>
      </c>
      <c r="B123" s="11" t="e">
        <f>t3jjcpaothr3</f>
        <v>#REF!</v>
      </c>
    </row>
    <row r="124" spans="1:2" x14ac:dyDescent="0.25">
      <c r="A124" t="s">
        <v>390</v>
      </c>
      <c r="B124" s="11" t="e">
        <f>t3jjcpatot</f>
        <v>#REF!</v>
      </c>
    </row>
    <row r="125" spans="1:2" x14ac:dyDescent="0.25">
      <c r="A125" t="s">
        <v>391</v>
      </c>
      <c r="B125" s="11" t="e">
        <f>t3othersal</f>
        <v>#REF!</v>
      </c>
    </row>
    <row r="126" spans="1:2" x14ac:dyDescent="0.25">
      <c r="A126" t="s">
        <v>392</v>
      </c>
      <c r="B126" s="11" t="e">
        <f>t3otherserv</f>
        <v>#REF!</v>
      </c>
    </row>
    <row r="127" spans="1:2" x14ac:dyDescent="0.25">
      <c r="A127" t="s">
        <v>393</v>
      </c>
      <c r="B127" s="11" t="e">
        <f>t3otherprof</f>
        <v>#REF!</v>
      </c>
    </row>
    <row r="128" spans="1:2" x14ac:dyDescent="0.25">
      <c r="A128" t="s">
        <v>394</v>
      </c>
      <c r="B128" s="11" t="e">
        <f>t3othercbo</f>
        <v>#REF!</v>
      </c>
    </row>
    <row r="129" spans="1:2" x14ac:dyDescent="0.25">
      <c r="A129" t="s">
        <v>395</v>
      </c>
      <c r="B129" s="11" t="e">
        <f>t3otherequip</f>
        <v>#REF!</v>
      </c>
    </row>
    <row r="130" spans="1:2" x14ac:dyDescent="0.25">
      <c r="A130" t="s">
        <v>396</v>
      </c>
      <c r="B130" s="11" t="e">
        <f>t3otheradmin</f>
        <v>#REF!</v>
      </c>
    </row>
    <row r="131" spans="1:2" x14ac:dyDescent="0.25">
      <c r="A131" t="s">
        <v>397</v>
      </c>
      <c r="B131" s="11" t="e">
        <f>t3otherothr1</f>
        <v>#REF!</v>
      </c>
    </row>
    <row r="132" spans="1:2" x14ac:dyDescent="0.25">
      <c r="A132" t="s">
        <v>398</v>
      </c>
      <c r="B132" s="11" t="e">
        <f>t3otherothr2</f>
        <v>#REF!</v>
      </c>
    </row>
    <row r="133" spans="1:2" x14ac:dyDescent="0.25">
      <c r="A133" t="s">
        <v>399</v>
      </c>
      <c r="B133" s="11" t="e">
        <f>t3otherothr3</f>
        <v>#REF!</v>
      </c>
    </row>
    <row r="134" spans="1:2" x14ac:dyDescent="0.25">
      <c r="A134" t="s">
        <v>400</v>
      </c>
      <c r="B134" s="11" t="e">
        <f>t3othertot</f>
        <v>#REF!</v>
      </c>
    </row>
    <row r="135" spans="1:2" x14ac:dyDescent="0.25">
      <c r="A135" t="s">
        <v>401</v>
      </c>
      <c r="B135" s="9" t="e">
        <f>t3casecount</f>
        <v>#REF!</v>
      </c>
    </row>
    <row r="136" spans="1:2" x14ac:dyDescent="0.25">
      <c r="A136" t="s">
        <v>402</v>
      </c>
      <c r="B136" s="12" t="e">
        <f>t3yobgpercap</f>
        <v>#REF!</v>
      </c>
    </row>
    <row r="137" spans="1:2" x14ac:dyDescent="0.25">
      <c r="A137" t="s">
        <v>403</v>
      </c>
      <c r="B137" s="12" t="e">
        <f>t3totpercap</f>
        <v>#REF!</v>
      </c>
    </row>
    <row r="138" spans="1:2" x14ac:dyDescent="0.25">
      <c r="A138" t="s">
        <v>404</v>
      </c>
      <c r="B138" s="9" t="e">
        <f>t3youth1</f>
        <v>#REF!</v>
      </c>
    </row>
    <row r="139" spans="1:2" x14ac:dyDescent="0.25">
      <c r="A139" t="s">
        <v>405</v>
      </c>
      <c r="B139" s="9" t="e">
        <f>t3youth2</f>
        <v>#REF!</v>
      </c>
    </row>
    <row r="140" spans="1:2" x14ac:dyDescent="0.25">
      <c r="A140" t="s">
        <v>406</v>
      </c>
      <c r="B140" s="9" t="e">
        <f>t3youth3</f>
        <v>#REF!</v>
      </c>
    </row>
    <row r="141" spans="1:2" x14ac:dyDescent="0.25">
      <c r="A141" t="s">
        <v>407</v>
      </c>
      <c r="B141" s="9" t="e">
        <f>t3youth4</f>
        <v>#REF!</v>
      </c>
    </row>
    <row r="142" spans="1:2" x14ac:dyDescent="0.25">
      <c r="A142" t="s">
        <v>408</v>
      </c>
      <c r="B142" s="9" t="e">
        <f>t3youth5</f>
        <v>#REF!</v>
      </c>
    </row>
    <row r="143" spans="1:2" x14ac:dyDescent="0.25">
      <c r="A143" t="s">
        <v>409</v>
      </c>
      <c r="B143" s="9" t="e">
        <f>t3youth6</f>
        <v>#REF!</v>
      </c>
    </row>
    <row r="144" spans="1:2" x14ac:dyDescent="0.25">
      <c r="A144" t="s">
        <v>410</v>
      </c>
      <c r="B144" s="13" t="e">
        <f>Numecodet4</f>
        <v>#REF!</v>
      </c>
    </row>
    <row r="145" spans="1:2" x14ac:dyDescent="0.25">
      <c r="A145" t="s">
        <v>411</v>
      </c>
      <c r="B145" s="10" t="e">
        <f>Numealtt4</f>
        <v>#REF!</v>
      </c>
    </row>
    <row r="146" spans="1:2" x14ac:dyDescent="0.25">
      <c r="A146" t="s">
        <v>412</v>
      </c>
      <c r="B146" s="11" t="e">
        <f>t4yobgsal</f>
        <v>#REF!</v>
      </c>
    </row>
    <row r="147" spans="1:2" x14ac:dyDescent="0.25">
      <c r="A147" t="s">
        <v>413</v>
      </c>
      <c r="B147" s="11" t="e">
        <f>t4yobgserv</f>
        <v>#REF!</v>
      </c>
    </row>
    <row r="148" spans="1:2" x14ac:dyDescent="0.25">
      <c r="A148" t="s">
        <v>414</v>
      </c>
      <c r="B148" s="11" t="e">
        <f>t4yobgprof</f>
        <v>#REF!</v>
      </c>
    </row>
    <row r="149" spans="1:2" x14ac:dyDescent="0.25">
      <c r="A149" t="s">
        <v>415</v>
      </c>
      <c r="B149" s="11" t="e">
        <f>t4yobgcbo</f>
        <v>#REF!</v>
      </c>
    </row>
    <row r="150" spans="1:2" x14ac:dyDescent="0.25">
      <c r="A150" t="s">
        <v>416</v>
      </c>
      <c r="B150" s="11" t="e">
        <f>t4yobgequip</f>
        <v>#REF!</v>
      </c>
    </row>
    <row r="151" spans="1:2" x14ac:dyDescent="0.25">
      <c r="A151" t="s">
        <v>417</v>
      </c>
      <c r="B151" s="11" t="e">
        <f>t4yobgadmin</f>
        <v>#REF!</v>
      </c>
    </row>
    <row r="152" spans="1:2" x14ac:dyDescent="0.25">
      <c r="A152" t="s">
        <v>418</v>
      </c>
      <c r="B152" s="11" t="e">
        <f>t4yobgothr1</f>
        <v>#REF!</v>
      </c>
    </row>
    <row r="153" spans="1:2" x14ac:dyDescent="0.25">
      <c r="A153" t="s">
        <v>419</v>
      </c>
      <c r="B153" s="11" t="e">
        <f>t4yobgothr2</f>
        <v>#REF!</v>
      </c>
    </row>
    <row r="154" spans="1:2" x14ac:dyDescent="0.25">
      <c r="A154" t="s">
        <v>420</v>
      </c>
      <c r="B154" s="11" t="e">
        <f>t4yobgothr3</f>
        <v>#REF!</v>
      </c>
    </row>
    <row r="155" spans="1:2" x14ac:dyDescent="0.25">
      <c r="A155" t="s">
        <v>421</v>
      </c>
      <c r="B155" s="11" t="e">
        <f>t4yobgtot</f>
        <v>#REF!</v>
      </c>
    </row>
    <row r="156" spans="1:2" x14ac:dyDescent="0.25">
      <c r="A156" t="s">
        <v>422</v>
      </c>
      <c r="B156" s="11" t="e">
        <f>t4jjcpasal</f>
        <v>#REF!</v>
      </c>
    </row>
    <row r="157" spans="1:2" x14ac:dyDescent="0.25">
      <c r="A157" t="s">
        <v>423</v>
      </c>
      <c r="B157" s="11" t="e">
        <f>t4jjcpaserv</f>
        <v>#REF!</v>
      </c>
    </row>
    <row r="158" spans="1:2" x14ac:dyDescent="0.25">
      <c r="A158" t="s">
        <v>424</v>
      </c>
      <c r="B158" s="11" t="e">
        <f>t4jjcpaprof</f>
        <v>#REF!</v>
      </c>
    </row>
    <row r="159" spans="1:2" x14ac:dyDescent="0.25">
      <c r="A159" t="s">
        <v>425</v>
      </c>
      <c r="B159" s="11" t="e">
        <f>t4jjcpacbo</f>
        <v>#REF!</v>
      </c>
    </row>
    <row r="160" spans="1:2" x14ac:dyDescent="0.25">
      <c r="A160" t="s">
        <v>426</v>
      </c>
      <c r="B160" s="11" t="e">
        <f>t4jjcpaequip</f>
        <v>#REF!</v>
      </c>
    </row>
    <row r="161" spans="1:2" x14ac:dyDescent="0.25">
      <c r="A161" t="s">
        <v>427</v>
      </c>
      <c r="B161" s="11" t="e">
        <f>t4jjcpaadmin</f>
        <v>#REF!</v>
      </c>
    </row>
    <row r="162" spans="1:2" x14ac:dyDescent="0.25">
      <c r="A162" t="s">
        <v>428</v>
      </c>
      <c r="B162" s="11" t="e">
        <f>t4jjcpaothr1</f>
        <v>#REF!</v>
      </c>
    </row>
    <row r="163" spans="1:2" x14ac:dyDescent="0.25">
      <c r="A163" t="s">
        <v>429</v>
      </c>
      <c r="B163" s="11" t="e">
        <f>t4jjcpaothr2</f>
        <v>#REF!</v>
      </c>
    </row>
    <row r="164" spans="1:2" x14ac:dyDescent="0.25">
      <c r="A164" t="s">
        <v>430</v>
      </c>
      <c r="B164" s="11" t="e">
        <f>t4jjcpaothr3</f>
        <v>#REF!</v>
      </c>
    </row>
    <row r="165" spans="1:2" x14ac:dyDescent="0.25">
      <c r="A165" t="s">
        <v>431</v>
      </c>
      <c r="B165" s="11" t="e">
        <f>t4jjcpatot</f>
        <v>#REF!</v>
      </c>
    </row>
    <row r="166" spans="1:2" x14ac:dyDescent="0.25">
      <c r="A166" t="s">
        <v>432</v>
      </c>
      <c r="B166" s="11" t="e">
        <f>t4othersal</f>
        <v>#REF!</v>
      </c>
    </row>
    <row r="167" spans="1:2" x14ac:dyDescent="0.25">
      <c r="A167" t="s">
        <v>433</v>
      </c>
      <c r="B167" s="11" t="e">
        <f>t4otherserv</f>
        <v>#REF!</v>
      </c>
    </row>
    <row r="168" spans="1:2" x14ac:dyDescent="0.25">
      <c r="A168" t="s">
        <v>434</v>
      </c>
      <c r="B168" s="11" t="e">
        <f>t4otherprof</f>
        <v>#REF!</v>
      </c>
    </row>
    <row r="169" spans="1:2" x14ac:dyDescent="0.25">
      <c r="A169" t="s">
        <v>435</v>
      </c>
      <c r="B169" s="11" t="e">
        <f>t4othercbo</f>
        <v>#REF!</v>
      </c>
    </row>
    <row r="170" spans="1:2" x14ac:dyDescent="0.25">
      <c r="A170" t="s">
        <v>436</v>
      </c>
      <c r="B170" s="11" t="e">
        <f>t4otherequip</f>
        <v>#REF!</v>
      </c>
    </row>
    <row r="171" spans="1:2" x14ac:dyDescent="0.25">
      <c r="A171" t="s">
        <v>437</v>
      </c>
      <c r="B171" s="11" t="e">
        <f>t4otheradmin</f>
        <v>#REF!</v>
      </c>
    </row>
    <row r="172" spans="1:2" x14ac:dyDescent="0.25">
      <c r="A172" t="s">
        <v>438</v>
      </c>
      <c r="B172" s="11" t="e">
        <f>t4otherothr1</f>
        <v>#REF!</v>
      </c>
    </row>
    <row r="173" spans="1:2" x14ac:dyDescent="0.25">
      <c r="A173" t="s">
        <v>439</v>
      </c>
      <c r="B173" s="11" t="e">
        <f>t4otherothr2</f>
        <v>#REF!</v>
      </c>
    </row>
    <row r="174" spans="1:2" x14ac:dyDescent="0.25">
      <c r="A174" t="s">
        <v>440</v>
      </c>
      <c r="B174" s="11" t="e">
        <f>t4otherothr3</f>
        <v>#REF!</v>
      </c>
    </row>
    <row r="175" spans="1:2" x14ac:dyDescent="0.25">
      <c r="A175" t="s">
        <v>441</v>
      </c>
      <c r="B175" s="11" t="e">
        <f>t4othertot</f>
        <v>#REF!</v>
      </c>
    </row>
    <row r="176" spans="1:2" x14ac:dyDescent="0.25">
      <c r="A176" t="s">
        <v>442</v>
      </c>
      <c r="B176" s="9" t="e">
        <f>t4casecount</f>
        <v>#REF!</v>
      </c>
    </row>
    <row r="177" spans="1:2" x14ac:dyDescent="0.25">
      <c r="A177" t="s">
        <v>443</v>
      </c>
      <c r="B177" s="12" t="e">
        <f>t4yobgpercap</f>
        <v>#REF!</v>
      </c>
    </row>
    <row r="178" spans="1:2" x14ac:dyDescent="0.25">
      <c r="A178" t="s">
        <v>444</v>
      </c>
      <c r="B178" s="12" t="e">
        <f>t4totpercap</f>
        <v>#REF!</v>
      </c>
    </row>
    <row r="179" spans="1:2" x14ac:dyDescent="0.25">
      <c r="A179" t="s">
        <v>445</v>
      </c>
      <c r="B179" s="9" t="e">
        <f>t4youth1</f>
        <v>#REF!</v>
      </c>
    </row>
    <row r="180" spans="1:2" x14ac:dyDescent="0.25">
      <c r="A180" t="s">
        <v>446</v>
      </c>
      <c r="B180" s="9" t="e">
        <f>t4youth2</f>
        <v>#REF!</v>
      </c>
    </row>
    <row r="181" spans="1:2" x14ac:dyDescent="0.25">
      <c r="A181" t="s">
        <v>447</v>
      </c>
      <c r="B181" s="9" t="e">
        <f>t4youth3</f>
        <v>#REF!</v>
      </c>
    </row>
    <row r="182" spans="1:2" x14ac:dyDescent="0.25">
      <c r="A182" t="s">
        <v>448</v>
      </c>
      <c r="B182" s="9" t="e">
        <f>t4youth4</f>
        <v>#REF!</v>
      </c>
    </row>
    <row r="183" spans="1:2" x14ac:dyDescent="0.25">
      <c r="A183" t="s">
        <v>449</v>
      </c>
      <c r="B183" s="9" t="e">
        <f>t4youth5</f>
        <v>#REF!</v>
      </c>
    </row>
    <row r="184" spans="1:2" x14ac:dyDescent="0.25">
      <c r="A184" t="s">
        <v>450</v>
      </c>
      <c r="B184" s="9" t="e">
        <f>t4youth6</f>
        <v>#REF!</v>
      </c>
    </row>
    <row r="185" spans="1:2" x14ac:dyDescent="0.25">
      <c r="A185" t="s">
        <v>451</v>
      </c>
      <c r="B185" s="13" t="e">
        <f>Numecodet5</f>
        <v>#REF!</v>
      </c>
    </row>
    <row r="186" spans="1:2" x14ac:dyDescent="0.25">
      <c r="A186" t="s">
        <v>452</v>
      </c>
      <c r="B186" s="10" t="e">
        <f>Numealtt5</f>
        <v>#REF!</v>
      </c>
    </row>
    <row r="187" spans="1:2" x14ac:dyDescent="0.25">
      <c r="A187" t="s">
        <v>453</v>
      </c>
      <c r="B187" s="11" t="e">
        <f>t5yobgsal</f>
        <v>#REF!</v>
      </c>
    </row>
    <row r="188" spans="1:2" x14ac:dyDescent="0.25">
      <c r="A188" t="s">
        <v>454</v>
      </c>
      <c r="B188" s="11" t="e">
        <f>t5yobgserv</f>
        <v>#REF!</v>
      </c>
    </row>
    <row r="189" spans="1:2" x14ac:dyDescent="0.25">
      <c r="A189" t="s">
        <v>455</v>
      </c>
      <c r="B189" s="11" t="e">
        <f>t5yobgprof</f>
        <v>#REF!</v>
      </c>
    </row>
    <row r="190" spans="1:2" x14ac:dyDescent="0.25">
      <c r="A190" t="s">
        <v>456</v>
      </c>
      <c r="B190" s="11" t="e">
        <f>t5yobgcbo</f>
        <v>#REF!</v>
      </c>
    </row>
    <row r="191" spans="1:2" x14ac:dyDescent="0.25">
      <c r="A191" t="s">
        <v>457</v>
      </c>
      <c r="B191" s="11" t="e">
        <f>t5yobgequip</f>
        <v>#REF!</v>
      </c>
    </row>
    <row r="192" spans="1:2" x14ac:dyDescent="0.25">
      <c r="A192" t="s">
        <v>458</v>
      </c>
      <c r="B192" s="11" t="e">
        <f>t5yobgadmin</f>
        <v>#REF!</v>
      </c>
    </row>
    <row r="193" spans="1:2" x14ac:dyDescent="0.25">
      <c r="A193" t="s">
        <v>459</v>
      </c>
      <c r="B193" s="11" t="e">
        <f>t5yobgothr1</f>
        <v>#REF!</v>
      </c>
    </row>
    <row r="194" spans="1:2" x14ac:dyDescent="0.25">
      <c r="A194" t="s">
        <v>460</v>
      </c>
      <c r="B194" s="11" t="e">
        <f>t5yobgothr2</f>
        <v>#REF!</v>
      </c>
    </row>
    <row r="195" spans="1:2" x14ac:dyDescent="0.25">
      <c r="A195" t="s">
        <v>461</v>
      </c>
      <c r="B195" s="11" t="e">
        <f>t5yobgothr3</f>
        <v>#REF!</v>
      </c>
    </row>
    <row r="196" spans="1:2" x14ac:dyDescent="0.25">
      <c r="A196" t="s">
        <v>462</v>
      </c>
      <c r="B196" s="11" t="e">
        <f>t5yobgtot</f>
        <v>#REF!</v>
      </c>
    </row>
    <row r="197" spans="1:2" x14ac:dyDescent="0.25">
      <c r="A197" t="s">
        <v>463</v>
      </c>
      <c r="B197" s="11" t="e">
        <f>t5jjcpasal</f>
        <v>#REF!</v>
      </c>
    </row>
    <row r="198" spans="1:2" x14ac:dyDescent="0.25">
      <c r="A198" t="s">
        <v>464</v>
      </c>
      <c r="B198" s="11" t="e">
        <f>t5jjcpaserv</f>
        <v>#REF!</v>
      </c>
    </row>
    <row r="199" spans="1:2" x14ac:dyDescent="0.25">
      <c r="A199" t="s">
        <v>465</v>
      </c>
      <c r="B199" s="11" t="e">
        <f>t5jjcpaprof</f>
        <v>#REF!</v>
      </c>
    </row>
    <row r="200" spans="1:2" x14ac:dyDescent="0.25">
      <c r="A200" t="s">
        <v>466</v>
      </c>
      <c r="B200" s="11" t="e">
        <f>t5jjcpacbo</f>
        <v>#REF!</v>
      </c>
    </row>
    <row r="201" spans="1:2" x14ac:dyDescent="0.25">
      <c r="A201" t="s">
        <v>467</v>
      </c>
      <c r="B201" s="11" t="e">
        <f>t5jjcpaequip</f>
        <v>#REF!</v>
      </c>
    </row>
    <row r="202" spans="1:2" x14ac:dyDescent="0.25">
      <c r="A202" t="s">
        <v>468</v>
      </c>
      <c r="B202" s="11" t="e">
        <f>t5jjcpaadmin</f>
        <v>#REF!</v>
      </c>
    </row>
    <row r="203" spans="1:2" x14ac:dyDescent="0.25">
      <c r="A203" t="s">
        <v>469</v>
      </c>
      <c r="B203" s="11" t="e">
        <f>t5jjcpaothr1</f>
        <v>#REF!</v>
      </c>
    </row>
    <row r="204" spans="1:2" x14ac:dyDescent="0.25">
      <c r="A204" t="s">
        <v>470</v>
      </c>
      <c r="B204" s="11" t="e">
        <f>t5jjcpaothr2</f>
        <v>#REF!</v>
      </c>
    </row>
    <row r="205" spans="1:2" x14ac:dyDescent="0.25">
      <c r="A205" t="s">
        <v>471</v>
      </c>
      <c r="B205" s="11" t="e">
        <f>t5jjcpaothr3</f>
        <v>#REF!</v>
      </c>
    </row>
    <row r="206" spans="1:2" x14ac:dyDescent="0.25">
      <c r="A206" t="s">
        <v>472</v>
      </c>
      <c r="B206" s="11" t="e">
        <f>t5jjcpatot</f>
        <v>#REF!</v>
      </c>
    </row>
    <row r="207" spans="1:2" x14ac:dyDescent="0.25">
      <c r="A207" t="s">
        <v>473</v>
      </c>
      <c r="B207" s="11" t="e">
        <f>t5othersal</f>
        <v>#REF!</v>
      </c>
    </row>
    <row r="208" spans="1:2" x14ac:dyDescent="0.25">
      <c r="A208" t="s">
        <v>474</v>
      </c>
      <c r="B208" s="11" t="e">
        <f>t5otherserv</f>
        <v>#REF!</v>
      </c>
    </row>
    <row r="209" spans="1:2" x14ac:dyDescent="0.25">
      <c r="A209" t="s">
        <v>475</v>
      </c>
      <c r="B209" s="11" t="e">
        <f>t5otherprof</f>
        <v>#REF!</v>
      </c>
    </row>
    <row r="210" spans="1:2" x14ac:dyDescent="0.25">
      <c r="A210" t="s">
        <v>476</v>
      </c>
      <c r="B210" s="11" t="e">
        <f>t5othercbo</f>
        <v>#REF!</v>
      </c>
    </row>
    <row r="211" spans="1:2" x14ac:dyDescent="0.25">
      <c r="A211" t="s">
        <v>477</v>
      </c>
      <c r="B211" s="11" t="e">
        <f>t5otherequip</f>
        <v>#REF!</v>
      </c>
    </row>
    <row r="212" spans="1:2" x14ac:dyDescent="0.25">
      <c r="A212" t="s">
        <v>478</v>
      </c>
      <c r="B212" s="11" t="e">
        <f>t5otheradmin</f>
        <v>#REF!</v>
      </c>
    </row>
    <row r="213" spans="1:2" x14ac:dyDescent="0.25">
      <c r="A213" t="s">
        <v>479</v>
      </c>
      <c r="B213" s="11" t="e">
        <f>t5otherothr1</f>
        <v>#REF!</v>
      </c>
    </row>
    <row r="214" spans="1:2" x14ac:dyDescent="0.25">
      <c r="A214" t="s">
        <v>480</v>
      </c>
      <c r="B214" s="11" t="e">
        <f>t5otherothr2</f>
        <v>#REF!</v>
      </c>
    </row>
    <row r="215" spans="1:2" x14ac:dyDescent="0.25">
      <c r="A215" t="s">
        <v>481</v>
      </c>
      <c r="B215" s="11" t="e">
        <f>t5otherothr3</f>
        <v>#REF!</v>
      </c>
    </row>
    <row r="216" spans="1:2" x14ac:dyDescent="0.25">
      <c r="A216" t="s">
        <v>482</v>
      </c>
      <c r="B216" s="11" t="e">
        <f>t5othertot</f>
        <v>#REF!</v>
      </c>
    </row>
    <row r="217" spans="1:2" x14ac:dyDescent="0.25">
      <c r="A217" t="s">
        <v>483</v>
      </c>
      <c r="B217" s="9" t="e">
        <f>t5casecount</f>
        <v>#REF!</v>
      </c>
    </row>
    <row r="218" spans="1:2" x14ac:dyDescent="0.25">
      <c r="A218" t="s">
        <v>484</v>
      </c>
      <c r="B218" s="12" t="e">
        <f>t5yobgpercap</f>
        <v>#REF!</v>
      </c>
    </row>
    <row r="219" spans="1:2" x14ac:dyDescent="0.25">
      <c r="A219" t="s">
        <v>485</v>
      </c>
      <c r="B219" s="12" t="e">
        <f>t5totpercap</f>
        <v>#REF!</v>
      </c>
    </row>
    <row r="220" spans="1:2" x14ac:dyDescent="0.25">
      <c r="A220" t="s">
        <v>486</v>
      </c>
      <c r="B220" s="9" t="e">
        <f>t5youth1</f>
        <v>#REF!</v>
      </c>
    </row>
    <row r="221" spans="1:2" x14ac:dyDescent="0.25">
      <c r="A221" t="s">
        <v>487</v>
      </c>
      <c r="B221" s="9" t="e">
        <f>t5youth2</f>
        <v>#REF!</v>
      </c>
    </row>
    <row r="222" spans="1:2" x14ac:dyDescent="0.25">
      <c r="A222" t="s">
        <v>488</v>
      </c>
      <c r="B222" s="9" t="e">
        <f>t5youth3</f>
        <v>#REF!</v>
      </c>
    </row>
    <row r="223" spans="1:2" x14ac:dyDescent="0.25">
      <c r="A223" t="s">
        <v>489</v>
      </c>
      <c r="B223" s="9" t="e">
        <f>t5youth4</f>
        <v>#REF!</v>
      </c>
    </row>
    <row r="224" spans="1:2" x14ac:dyDescent="0.25">
      <c r="A224" t="s">
        <v>490</v>
      </c>
      <c r="B224" s="9" t="e">
        <f>t5youth5</f>
        <v>#REF!</v>
      </c>
    </row>
    <row r="225" spans="1:2" x14ac:dyDescent="0.25">
      <c r="A225" t="s">
        <v>491</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267</v>
      </c>
      <c r="B1" s="22" t="str">
        <f>County</f>
        <v>Ventura</v>
      </c>
    </row>
    <row r="2" spans="1:2" x14ac:dyDescent="0.25">
      <c r="A2" t="s">
        <v>492</v>
      </c>
      <c r="B2" s="13" t="e">
        <f>Numecodet6</f>
        <v>#REF!</v>
      </c>
    </row>
    <row r="3" spans="1:2" x14ac:dyDescent="0.25">
      <c r="A3" t="s">
        <v>493</v>
      </c>
      <c r="B3" s="10" t="e">
        <f>Numealtt6</f>
        <v>#REF!</v>
      </c>
    </row>
    <row r="4" spans="1:2" x14ac:dyDescent="0.25">
      <c r="A4" t="s">
        <v>494</v>
      </c>
      <c r="B4" s="11" t="e">
        <f>t6yobgsal</f>
        <v>#REF!</v>
      </c>
    </row>
    <row r="5" spans="1:2" x14ac:dyDescent="0.25">
      <c r="A5" t="s">
        <v>495</v>
      </c>
      <c r="B5" s="11" t="e">
        <f>t6yobgserv</f>
        <v>#REF!</v>
      </c>
    </row>
    <row r="6" spans="1:2" x14ac:dyDescent="0.25">
      <c r="A6" t="s">
        <v>496</v>
      </c>
      <c r="B6" s="11" t="e">
        <f>t6yobgprof</f>
        <v>#REF!</v>
      </c>
    </row>
    <row r="7" spans="1:2" x14ac:dyDescent="0.25">
      <c r="A7" t="s">
        <v>497</v>
      </c>
      <c r="B7" s="11" t="e">
        <f>t6yobgcbo</f>
        <v>#REF!</v>
      </c>
    </row>
    <row r="8" spans="1:2" x14ac:dyDescent="0.25">
      <c r="A8" t="s">
        <v>498</v>
      </c>
      <c r="B8" s="11" t="e">
        <f>t6yobgequip</f>
        <v>#REF!</v>
      </c>
    </row>
    <row r="9" spans="1:2" x14ac:dyDescent="0.25">
      <c r="A9" t="s">
        <v>499</v>
      </c>
      <c r="B9" s="11" t="e">
        <f>t6yobgadmin</f>
        <v>#REF!</v>
      </c>
    </row>
    <row r="10" spans="1:2" x14ac:dyDescent="0.25">
      <c r="A10" t="s">
        <v>500</v>
      </c>
      <c r="B10" s="11" t="e">
        <f>t6yobgothr1</f>
        <v>#REF!</v>
      </c>
    </row>
    <row r="11" spans="1:2" x14ac:dyDescent="0.25">
      <c r="A11" t="s">
        <v>501</v>
      </c>
      <c r="B11" s="11" t="e">
        <f>t6yobgothr2</f>
        <v>#REF!</v>
      </c>
    </row>
    <row r="12" spans="1:2" x14ac:dyDescent="0.25">
      <c r="A12" t="s">
        <v>502</v>
      </c>
      <c r="B12" s="11" t="e">
        <f>t6yobgothr3</f>
        <v>#REF!</v>
      </c>
    </row>
    <row r="13" spans="1:2" x14ac:dyDescent="0.25">
      <c r="A13" t="s">
        <v>503</v>
      </c>
      <c r="B13" s="11" t="e">
        <f>t6yobgtot</f>
        <v>#REF!</v>
      </c>
    </row>
    <row r="14" spans="1:2" x14ac:dyDescent="0.25">
      <c r="A14" t="s">
        <v>504</v>
      </c>
      <c r="B14" s="11" t="e">
        <f>t6jjcpasal</f>
        <v>#REF!</v>
      </c>
    </row>
    <row r="15" spans="1:2" x14ac:dyDescent="0.25">
      <c r="A15" t="s">
        <v>505</v>
      </c>
      <c r="B15" s="11" t="e">
        <f>t6jjcpaserv</f>
        <v>#REF!</v>
      </c>
    </row>
    <row r="16" spans="1:2" x14ac:dyDescent="0.25">
      <c r="A16" t="s">
        <v>506</v>
      </c>
      <c r="B16" s="11" t="e">
        <f>t6jjcpaprof</f>
        <v>#REF!</v>
      </c>
    </row>
    <row r="17" spans="1:2" x14ac:dyDescent="0.25">
      <c r="A17" t="s">
        <v>507</v>
      </c>
      <c r="B17" s="11" t="e">
        <f>t6jjcpacbo</f>
        <v>#REF!</v>
      </c>
    </row>
    <row r="18" spans="1:2" x14ac:dyDescent="0.25">
      <c r="A18" t="s">
        <v>508</v>
      </c>
      <c r="B18" s="11" t="e">
        <f>t6jjcpaequip</f>
        <v>#REF!</v>
      </c>
    </row>
    <row r="19" spans="1:2" x14ac:dyDescent="0.25">
      <c r="A19" t="s">
        <v>509</v>
      </c>
      <c r="B19" s="11" t="e">
        <f>t6jjcpaadmin</f>
        <v>#REF!</v>
      </c>
    </row>
    <row r="20" spans="1:2" x14ac:dyDescent="0.25">
      <c r="A20" t="s">
        <v>510</v>
      </c>
      <c r="B20" s="11" t="e">
        <f>t6jjcpaothr1</f>
        <v>#REF!</v>
      </c>
    </row>
    <row r="21" spans="1:2" x14ac:dyDescent="0.25">
      <c r="A21" t="s">
        <v>511</v>
      </c>
      <c r="B21" s="11" t="e">
        <f>t6jjcpaothr2</f>
        <v>#REF!</v>
      </c>
    </row>
    <row r="22" spans="1:2" x14ac:dyDescent="0.25">
      <c r="A22" t="s">
        <v>512</v>
      </c>
      <c r="B22" s="11" t="e">
        <f>t6jjcpaothr3</f>
        <v>#REF!</v>
      </c>
    </row>
    <row r="23" spans="1:2" x14ac:dyDescent="0.25">
      <c r="A23" t="s">
        <v>513</v>
      </c>
      <c r="B23" s="11" t="e">
        <f>t6jjcpatot</f>
        <v>#REF!</v>
      </c>
    </row>
    <row r="24" spans="1:2" x14ac:dyDescent="0.25">
      <c r="A24" t="s">
        <v>514</v>
      </c>
      <c r="B24" s="11" t="e">
        <f>t6othersal</f>
        <v>#REF!</v>
      </c>
    </row>
    <row r="25" spans="1:2" x14ac:dyDescent="0.25">
      <c r="A25" t="s">
        <v>515</v>
      </c>
      <c r="B25" s="11" t="e">
        <f>t6otherserv</f>
        <v>#REF!</v>
      </c>
    </row>
    <row r="26" spans="1:2" x14ac:dyDescent="0.25">
      <c r="A26" t="s">
        <v>516</v>
      </c>
      <c r="B26" s="11" t="e">
        <f>t6otherprof</f>
        <v>#REF!</v>
      </c>
    </row>
    <row r="27" spans="1:2" x14ac:dyDescent="0.25">
      <c r="A27" t="s">
        <v>517</v>
      </c>
      <c r="B27" s="11" t="e">
        <f>t6othercbo</f>
        <v>#REF!</v>
      </c>
    </row>
    <row r="28" spans="1:2" x14ac:dyDescent="0.25">
      <c r="A28" t="s">
        <v>518</v>
      </c>
      <c r="B28" s="11" t="e">
        <f>t6otherequip</f>
        <v>#REF!</v>
      </c>
    </row>
    <row r="29" spans="1:2" x14ac:dyDescent="0.25">
      <c r="A29" t="s">
        <v>519</v>
      </c>
      <c r="B29" s="11" t="e">
        <f>t6otheradmin</f>
        <v>#REF!</v>
      </c>
    </row>
    <row r="30" spans="1:2" x14ac:dyDescent="0.25">
      <c r="A30" t="s">
        <v>520</v>
      </c>
      <c r="B30" s="11" t="e">
        <f>t6otherothr1</f>
        <v>#REF!</v>
      </c>
    </row>
    <row r="31" spans="1:2" x14ac:dyDescent="0.25">
      <c r="A31" t="s">
        <v>521</v>
      </c>
      <c r="B31" s="11" t="e">
        <f>t6otherothr2</f>
        <v>#REF!</v>
      </c>
    </row>
    <row r="32" spans="1:2" x14ac:dyDescent="0.25">
      <c r="A32" t="s">
        <v>522</v>
      </c>
      <c r="B32" s="11" t="e">
        <f>t6otherothr3</f>
        <v>#REF!</v>
      </c>
    </row>
    <row r="33" spans="1:2" x14ac:dyDescent="0.25">
      <c r="A33" t="s">
        <v>523</v>
      </c>
      <c r="B33" s="11" t="e">
        <f>t6othertot</f>
        <v>#REF!</v>
      </c>
    </row>
    <row r="34" spans="1:2" x14ac:dyDescent="0.25">
      <c r="A34" t="s">
        <v>524</v>
      </c>
      <c r="B34" s="9" t="e">
        <f>t6casecount</f>
        <v>#REF!</v>
      </c>
    </row>
    <row r="35" spans="1:2" x14ac:dyDescent="0.25">
      <c r="A35" t="s">
        <v>525</v>
      </c>
      <c r="B35" s="12" t="e">
        <f>t6yobgpercap</f>
        <v>#REF!</v>
      </c>
    </row>
    <row r="36" spans="1:2" x14ac:dyDescent="0.25">
      <c r="A36" t="s">
        <v>526</v>
      </c>
      <c r="B36" s="12" t="e">
        <f>t6totpercap</f>
        <v>#REF!</v>
      </c>
    </row>
    <row r="37" spans="1:2" x14ac:dyDescent="0.25">
      <c r="A37" t="s">
        <v>527</v>
      </c>
      <c r="B37" s="9" t="e">
        <f>t6youth1</f>
        <v>#REF!</v>
      </c>
    </row>
    <row r="38" spans="1:2" x14ac:dyDescent="0.25">
      <c r="A38" t="s">
        <v>528</v>
      </c>
      <c r="B38" s="9" t="e">
        <f>t6youth2</f>
        <v>#REF!</v>
      </c>
    </row>
    <row r="39" spans="1:2" x14ac:dyDescent="0.25">
      <c r="A39" t="s">
        <v>529</v>
      </c>
      <c r="B39" s="9" t="e">
        <f>t6youth3</f>
        <v>#REF!</v>
      </c>
    </row>
    <row r="40" spans="1:2" x14ac:dyDescent="0.25">
      <c r="A40" t="s">
        <v>530</v>
      </c>
      <c r="B40" s="9" t="e">
        <f>t6youth4</f>
        <v>#REF!</v>
      </c>
    </row>
    <row r="41" spans="1:2" x14ac:dyDescent="0.25">
      <c r="A41" t="s">
        <v>531</v>
      </c>
      <c r="B41" s="9" t="e">
        <f>t6youth5</f>
        <v>#REF!</v>
      </c>
    </row>
    <row r="42" spans="1:2" x14ac:dyDescent="0.25">
      <c r="A42" t="s">
        <v>532</v>
      </c>
      <c r="B42" s="9" t="e">
        <f>t6youth6</f>
        <v>#REF!</v>
      </c>
    </row>
    <row r="43" spans="1:2" x14ac:dyDescent="0.25">
      <c r="A43" t="s">
        <v>533</v>
      </c>
      <c r="B43" s="13" t="e">
        <f>Numecodet7</f>
        <v>#REF!</v>
      </c>
    </row>
    <row r="44" spans="1:2" x14ac:dyDescent="0.25">
      <c r="A44" t="s">
        <v>534</v>
      </c>
      <c r="B44" s="10" t="e">
        <f>Numealtt7</f>
        <v>#REF!</v>
      </c>
    </row>
    <row r="45" spans="1:2" x14ac:dyDescent="0.25">
      <c r="A45" t="s">
        <v>535</v>
      </c>
      <c r="B45" s="11" t="e">
        <f>t7yobgsal</f>
        <v>#REF!</v>
      </c>
    </row>
    <row r="46" spans="1:2" x14ac:dyDescent="0.25">
      <c r="A46" t="s">
        <v>536</v>
      </c>
      <c r="B46" s="11" t="e">
        <f>t7yobgserv</f>
        <v>#REF!</v>
      </c>
    </row>
    <row r="47" spans="1:2" x14ac:dyDescent="0.25">
      <c r="A47" t="s">
        <v>537</v>
      </c>
      <c r="B47" s="11" t="e">
        <f>t7yobgprof</f>
        <v>#REF!</v>
      </c>
    </row>
    <row r="48" spans="1:2" x14ac:dyDescent="0.25">
      <c r="A48" t="s">
        <v>538</v>
      </c>
      <c r="B48" s="11" t="e">
        <f>t7yobgcbo</f>
        <v>#REF!</v>
      </c>
    </row>
    <row r="49" spans="1:2" x14ac:dyDescent="0.25">
      <c r="A49" t="s">
        <v>539</v>
      </c>
      <c r="B49" s="11" t="e">
        <f>t7yobgequip</f>
        <v>#REF!</v>
      </c>
    </row>
    <row r="50" spans="1:2" x14ac:dyDescent="0.25">
      <c r="A50" t="s">
        <v>540</v>
      </c>
      <c r="B50" s="11" t="e">
        <f>t7yobgadmin</f>
        <v>#REF!</v>
      </c>
    </row>
    <row r="51" spans="1:2" x14ac:dyDescent="0.25">
      <c r="A51" t="s">
        <v>541</v>
      </c>
      <c r="B51" s="11" t="e">
        <f>t7yobgothr1</f>
        <v>#REF!</v>
      </c>
    </row>
    <row r="52" spans="1:2" x14ac:dyDescent="0.25">
      <c r="A52" t="s">
        <v>542</v>
      </c>
      <c r="B52" s="11" t="e">
        <f>t7yobgothr2</f>
        <v>#REF!</v>
      </c>
    </row>
    <row r="53" spans="1:2" x14ac:dyDescent="0.25">
      <c r="A53" t="s">
        <v>543</v>
      </c>
      <c r="B53" s="11" t="e">
        <f>t7yobgothr3</f>
        <v>#REF!</v>
      </c>
    </row>
    <row r="54" spans="1:2" x14ac:dyDescent="0.25">
      <c r="A54" t="s">
        <v>544</v>
      </c>
      <c r="B54" s="11" t="e">
        <f>t7yobgtot</f>
        <v>#REF!</v>
      </c>
    </row>
    <row r="55" spans="1:2" x14ac:dyDescent="0.25">
      <c r="A55" t="s">
        <v>545</v>
      </c>
      <c r="B55" s="11" t="e">
        <f>t7jjcpasal</f>
        <v>#REF!</v>
      </c>
    </row>
    <row r="56" spans="1:2" x14ac:dyDescent="0.25">
      <c r="A56" t="s">
        <v>546</v>
      </c>
      <c r="B56" s="11" t="e">
        <f>t7jjcpaserv</f>
        <v>#REF!</v>
      </c>
    </row>
    <row r="57" spans="1:2" x14ac:dyDescent="0.25">
      <c r="A57" t="s">
        <v>547</v>
      </c>
      <c r="B57" s="11" t="e">
        <f>t7jjcpaprof</f>
        <v>#REF!</v>
      </c>
    </row>
    <row r="58" spans="1:2" x14ac:dyDescent="0.25">
      <c r="A58" t="s">
        <v>548</v>
      </c>
      <c r="B58" s="11" t="e">
        <f>t7jjcpacbo</f>
        <v>#REF!</v>
      </c>
    </row>
    <row r="59" spans="1:2" x14ac:dyDescent="0.25">
      <c r="A59" t="s">
        <v>549</v>
      </c>
      <c r="B59" s="11" t="e">
        <f>t7jjcpaequip</f>
        <v>#REF!</v>
      </c>
    </row>
    <row r="60" spans="1:2" x14ac:dyDescent="0.25">
      <c r="A60" t="s">
        <v>550</v>
      </c>
      <c r="B60" s="11" t="e">
        <f>t7jjcpaadmin</f>
        <v>#REF!</v>
      </c>
    </row>
    <row r="61" spans="1:2" x14ac:dyDescent="0.25">
      <c r="A61" t="s">
        <v>551</v>
      </c>
      <c r="B61" s="11" t="e">
        <f>t7jjcpaothr1</f>
        <v>#REF!</v>
      </c>
    </row>
    <row r="62" spans="1:2" x14ac:dyDescent="0.25">
      <c r="A62" t="s">
        <v>552</v>
      </c>
      <c r="B62" s="11" t="e">
        <f>t7jjcpaothr2</f>
        <v>#REF!</v>
      </c>
    </row>
    <row r="63" spans="1:2" x14ac:dyDescent="0.25">
      <c r="A63" t="s">
        <v>553</v>
      </c>
      <c r="B63" s="11" t="e">
        <f>t7jjcpaothr3</f>
        <v>#REF!</v>
      </c>
    </row>
    <row r="64" spans="1:2" x14ac:dyDescent="0.25">
      <c r="A64" t="s">
        <v>554</v>
      </c>
      <c r="B64" s="11" t="e">
        <f>t7jjcpatot</f>
        <v>#REF!</v>
      </c>
    </row>
    <row r="65" spans="1:2" x14ac:dyDescent="0.25">
      <c r="A65" t="s">
        <v>555</v>
      </c>
      <c r="B65" s="11" t="e">
        <f>t7othersal</f>
        <v>#REF!</v>
      </c>
    </row>
    <row r="66" spans="1:2" x14ac:dyDescent="0.25">
      <c r="A66" t="s">
        <v>556</v>
      </c>
      <c r="B66" s="11" t="e">
        <f>t7otherserv</f>
        <v>#REF!</v>
      </c>
    </row>
    <row r="67" spans="1:2" x14ac:dyDescent="0.25">
      <c r="A67" t="s">
        <v>557</v>
      </c>
      <c r="B67" s="11" t="e">
        <f>t7otherprof</f>
        <v>#REF!</v>
      </c>
    </row>
    <row r="68" spans="1:2" x14ac:dyDescent="0.25">
      <c r="A68" t="s">
        <v>558</v>
      </c>
      <c r="B68" s="11" t="e">
        <f>t7othercbo</f>
        <v>#REF!</v>
      </c>
    </row>
    <row r="69" spans="1:2" x14ac:dyDescent="0.25">
      <c r="A69" t="s">
        <v>559</v>
      </c>
      <c r="B69" s="11" t="e">
        <f>t7otherequip</f>
        <v>#REF!</v>
      </c>
    </row>
    <row r="70" spans="1:2" x14ac:dyDescent="0.25">
      <c r="A70" t="s">
        <v>560</v>
      </c>
      <c r="B70" s="11" t="e">
        <f>t7otheradmin</f>
        <v>#REF!</v>
      </c>
    </row>
    <row r="71" spans="1:2" x14ac:dyDescent="0.25">
      <c r="A71" t="s">
        <v>561</v>
      </c>
      <c r="B71" s="11" t="e">
        <f>t7otherothr1</f>
        <v>#REF!</v>
      </c>
    </row>
    <row r="72" spans="1:2" x14ac:dyDescent="0.25">
      <c r="A72" t="s">
        <v>562</v>
      </c>
      <c r="B72" s="11" t="e">
        <f>t7otherothr2</f>
        <v>#REF!</v>
      </c>
    </row>
    <row r="73" spans="1:2" x14ac:dyDescent="0.25">
      <c r="A73" t="s">
        <v>563</v>
      </c>
      <c r="B73" s="11" t="e">
        <f>t7otherothr3</f>
        <v>#REF!</v>
      </c>
    </row>
    <row r="74" spans="1:2" x14ac:dyDescent="0.25">
      <c r="A74" t="s">
        <v>564</v>
      </c>
      <c r="B74" s="11" t="e">
        <f>t7othertot</f>
        <v>#REF!</v>
      </c>
    </row>
    <row r="75" spans="1:2" x14ac:dyDescent="0.25">
      <c r="A75" t="s">
        <v>565</v>
      </c>
      <c r="B75" s="9" t="e">
        <f>t7casecount</f>
        <v>#REF!</v>
      </c>
    </row>
    <row r="76" spans="1:2" x14ac:dyDescent="0.25">
      <c r="A76" t="s">
        <v>566</v>
      </c>
      <c r="B76" s="12" t="e">
        <f>t7yobgpercap</f>
        <v>#REF!</v>
      </c>
    </row>
    <row r="77" spans="1:2" x14ac:dyDescent="0.25">
      <c r="A77" t="s">
        <v>567</v>
      </c>
      <c r="B77" s="12" t="e">
        <f>t7totpercap</f>
        <v>#REF!</v>
      </c>
    </row>
    <row r="78" spans="1:2" x14ac:dyDescent="0.25">
      <c r="A78" t="s">
        <v>568</v>
      </c>
      <c r="B78" s="9" t="e">
        <f>t7youth1</f>
        <v>#REF!</v>
      </c>
    </row>
    <row r="79" spans="1:2" x14ac:dyDescent="0.25">
      <c r="A79" t="s">
        <v>569</v>
      </c>
      <c r="B79" s="9" t="e">
        <f>t7youth2</f>
        <v>#REF!</v>
      </c>
    </row>
    <row r="80" spans="1:2" x14ac:dyDescent="0.25">
      <c r="A80" t="s">
        <v>570</v>
      </c>
      <c r="B80" s="9" t="e">
        <f>t7youth3</f>
        <v>#REF!</v>
      </c>
    </row>
    <row r="81" spans="1:2" x14ac:dyDescent="0.25">
      <c r="A81" t="s">
        <v>571</v>
      </c>
      <c r="B81" s="9" t="e">
        <f>t7youth4</f>
        <v>#REF!</v>
      </c>
    </row>
    <row r="82" spans="1:2" x14ac:dyDescent="0.25">
      <c r="A82" t="s">
        <v>572</v>
      </c>
      <c r="B82" s="9" t="e">
        <f>t7youth5</f>
        <v>#REF!</v>
      </c>
    </row>
    <row r="83" spans="1:2" x14ac:dyDescent="0.25">
      <c r="A83" t="s">
        <v>573</v>
      </c>
      <c r="B83" s="9" t="e">
        <f>t7youth6</f>
        <v>#REF!</v>
      </c>
    </row>
    <row r="84" spans="1:2" x14ac:dyDescent="0.25">
      <c r="A84" t="s">
        <v>574</v>
      </c>
      <c r="B84" s="13" t="e">
        <f>Numecodet8</f>
        <v>#REF!</v>
      </c>
    </row>
    <row r="85" spans="1:2" x14ac:dyDescent="0.25">
      <c r="A85" t="s">
        <v>575</v>
      </c>
      <c r="B85" s="10" t="e">
        <f>Numealtt8</f>
        <v>#REF!</v>
      </c>
    </row>
    <row r="86" spans="1:2" x14ac:dyDescent="0.25">
      <c r="A86" t="s">
        <v>576</v>
      </c>
      <c r="B86" s="11" t="e">
        <f>t8yobgsal</f>
        <v>#REF!</v>
      </c>
    </row>
    <row r="87" spans="1:2" x14ac:dyDescent="0.25">
      <c r="A87" t="s">
        <v>577</v>
      </c>
      <c r="B87" s="11" t="e">
        <f>t8yobgserv</f>
        <v>#REF!</v>
      </c>
    </row>
    <row r="88" spans="1:2" x14ac:dyDescent="0.25">
      <c r="A88" t="s">
        <v>578</v>
      </c>
      <c r="B88" s="11" t="e">
        <f>t8yobgprof</f>
        <v>#REF!</v>
      </c>
    </row>
    <row r="89" spans="1:2" x14ac:dyDescent="0.25">
      <c r="A89" t="s">
        <v>579</v>
      </c>
      <c r="B89" s="11" t="e">
        <f>t8yobgcbo</f>
        <v>#REF!</v>
      </c>
    </row>
    <row r="90" spans="1:2" x14ac:dyDescent="0.25">
      <c r="A90" t="s">
        <v>580</v>
      </c>
      <c r="B90" s="11" t="e">
        <f>t8yobgequip</f>
        <v>#REF!</v>
      </c>
    </row>
    <row r="91" spans="1:2" x14ac:dyDescent="0.25">
      <c r="A91" t="s">
        <v>581</v>
      </c>
      <c r="B91" s="11" t="e">
        <f>t8yobgadmin</f>
        <v>#REF!</v>
      </c>
    </row>
    <row r="92" spans="1:2" x14ac:dyDescent="0.25">
      <c r="A92" t="s">
        <v>582</v>
      </c>
      <c r="B92" s="11" t="e">
        <f>t8yobgothr1</f>
        <v>#REF!</v>
      </c>
    </row>
    <row r="93" spans="1:2" x14ac:dyDescent="0.25">
      <c r="A93" t="s">
        <v>583</v>
      </c>
      <c r="B93" s="11" t="e">
        <f>t8yobgothr2</f>
        <v>#REF!</v>
      </c>
    </row>
    <row r="94" spans="1:2" x14ac:dyDescent="0.25">
      <c r="A94" t="s">
        <v>584</v>
      </c>
      <c r="B94" s="11" t="e">
        <f>t8yobgothr3</f>
        <v>#REF!</v>
      </c>
    </row>
    <row r="95" spans="1:2" x14ac:dyDescent="0.25">
      <c r="A95" t="s">
        <v>585</v>
      </c>
      <c r="B95" s="11" t="e">
        <f>t8yobgtot</f>
        <v>#REF!</v>
      </c>
    </row>
    <row r="96" spans="1:2" x14ac:dyDescent="0.25">
      <c r="A96" t="s">
        <v>586</v>
      </c>
      <c r="B96" s="11" t="e">
        <f>t8jjcpasal</f>
        <v>#REF!</v>
      </c>
    </row>
    <row r="97" spans="1:2" x14ac:dyDescent="0.25">
      <c r="A97" t="s">
        <v>587</v>
      </c>
      <c r="B97" s="11" t="e">
        <f>t8jjcpaserv</f>
        <v>#REF!</v>
      </c>
    </row>
    <row r="98" spans="1:2" x14ac:dyDescent="0.25">
      <c r="A98" t="s">
        <v>588</v>
      </c>
      <c r="B98" s="11" t="e">
        <f>t8jjcpaprof</f>
        <v>#REF!</v>
      </c>
    </row>
    <row r="99" spans="1:2" x14ac:dyDescent="0.25">
      <c r="A99" t="s">
        <v>589</v>
      </c>
      <c r="B99" s="11" t="e">
        <f>t8jjcpacbo</f>
        <v>#REF!</v>
      </c>
    </row>
    <row r="100" spans="1:2" x14ac:dyDescent="0.25">
      <c r="A100" t="s">
        <v>590</v>
      </c>
      <c r="B100" s="11" t="e">
        <f>t8jjcpaequip</f>
        <v>#REF!</v>
      </c>
    </row>
    <row r="101" spans="1:2" x14ac:dyDescent="0.25">
      <c r="A101" t="s">
        <v>591</v>
      </c>
      <c r="B101" s="11" t="e">
        <f>t8jjcpaadmin</f>
        <v>#REF!</v>
      </c>
    </row>
    <row r="102" spans="1:2" x14ac:dyDescent="0.25">
      <c r="A102" t="s">
        <v>592</v>
      </c>
      <c r="B102" s="11" t="e">
        <f>t8jjcpaothr1</f>
        <v>#REF!</v>
      </c>
    </row>
    <row r="103" spans="1:2" x14ac:dyDescent="0.25">
      <c r="A103" t="s">
        <v>593</v>
      </c>
      <c r="B103" s="11" t="e">
        <f>t8jjcpaothr2</f>
        <v>#REF!</v>
      </c>
    </row>
    <row r="104" spans="1:2" x14ac:dyDescent="0.25">
      <c r="A104" t="s">
        <v>594</v>
      </c>
      <c r="B104" s="11" t="e">
        <f>t8jjcpaothr3</f>
        <v>#REF!</v>
      </c>
    </row>
    <row r="105" spans="1:2" x14ac:dyDescent="0.25">
      <c r="A105" t="s">
        <v>595</v>
      </c>
      <c r="B105" s="11" t="e">
        <f>t8jjcpatot</f>
        <v>#REF!</v>
      </c>
    </row>
    <row r="106" spans="1:2" x14ac:dyDescent="0.25">
      <c r="A106" t="s">
        <v>596</v>
      </c>
      <c r="B106" s="11" t="e">
        <f>t8othersal</f>
        <v>#REF!</v>
      </c>
    </row>
    <row r="107" spans="1:2" x14ac:dyDescent="0.25">
      <c r="A107" t="s">
        <v>597</v>
      </c>
      <c r="B107" s="11" t="e">
        <f>t8otherserv</f>
        <v>#REF!</v>
      </c>
    </row>
    <row r="108" spans="1:2" x14ac:dyDescent="0.25">
      <c r="A108" t="s">
        <v>598</v>
      </c>
      <c r="B108" s="11" t="e">
        <f>t8otherprof</f>
        <v>#REF!</v>
      </c>
    </row>
    <row r="109" spans="1:2" x14ac:dyDescent="0.25">
      <c r="A109" t="s">
        <v>599</v>
      </c>
      <c r="B109" s="11" t="e">
        <f>t8othercbo</f>
        <v>#REF!</v>
      </c>
    </row>
    <row r="110" spans="1:2" x14ac:dyDescent="0.25">
      <c r="A110" t="s">
        <v>600</v>
      </c>
      <c r="B110" s="11" t="e">
        <f>t8otherequip</f>
        <v>#REF!</v>
      </c>
    </row>
    <row r="111" spans="1:2" x14ac:dyDescent="0.25">
      <c r="A111" t="s">
        <v>601</v>
      </c>
      <c r="B111" s="11" t="e">
        <f>t8otheradmin</f>
        <v>#REF!</v>
      </c>
    </row>
    <row r="112" spans="1:2" x14ac:dyDescent="0.25">
      <c r="A112" t="s">
        <v>602</v>
      </c>
      <c r="B112" s="11" t="e">
        <f>t8otherothr1</f>
        <v>#REF!</v>
      </c>
    </row>
    <row r="113" spans="1:2" x14ac:dyDescent="0.25">
      <c r="A113" t="s">
        <v>603</v>
      </c>
      <c r="B113" s="11" t="e">
        <f>t8otherothr2</f>
        <v>#REF!</v>
      </c>
    </row>
    <row r="114" spans="1:2" x14ac:dyDescent="0.25">
      <c r="A114" t="s">
        <v>604</v>
      </c>
      <c r="B114" s="11" t="e">
        <f>t8otherothr3</f>
        <v>#REF!</v>
      </c>
    </row>
    <row r="115" spans="1:2" x14ac:dyDescent="0.25">
      <c r="A115" t="s">
        <v>605</v>
      </c>
      <c r="B115" s="11" t="e">
        <f>t8othertot</f>
        <v>#REF!</v>
      </c>
    </row>
    <row r="116" spans="1:2" x14ac:dyDescent="0.25">
      <c r="A116" t="s">
        <v>606</v>
      </c>
      <c r="B116" s="9" t="e">
        <f>t8casecount</f>
        <v>#REF!</v>
      </c>
    </row>
    <row r="117" spans="1:2" x14ac:dyDescent="0.25">
      <c r="A117" t="s">
        <v>607</v>
      </c>
      <c r="B117" s="12" t="e">
        <f>t8yobgpercap</f>
        <v>#REF!</v>
      </c>
    </row>
    <row r="118" spans="1:2" x14ac:dyDescent="0.25">
      <c r="A118" t="s">
        <v>608</v>
      </c>
      <c r="B118" s="12" t="e">
        <f>t8totpercap</f>
        <v>#REF!</v>
      </c>
    </row>
    <row r="119" spans="1:2" x14ac:dyDescent="0.25">
      <c r="A119" t="s">
        <v>609</v>
      </c>
      <c r="B119" s="9" t="e">
        <f>t8youth1</f>
        <v>#REF!</v>
      </c>
    </row>
    <row r="120" spans="1:2" x14ac:dyDescent="0.25">
      <c r="A120" t="s">
        <v>610</v>
      </c>
      <c r="B120" s="9" t="e">
        <f>t8youth2</f>
        <v>#REF!</v>
      </c>
    </row>
    <row r="121" spans="1:2" x14ac:dyDescent="0.25">
      <c r="A121" t="s">
        <v>611</v>
      </c>
      <c r="B121" s="9" t="e">
        <f>t8youth3</f>
        <v>#REF!</v>
      </c>
    </row>
    <row r="122" spans="1:2" x14ac:dyDescent="0.25">
      <c r="A122" t="s">
        <v>612</v>
      </c>
      <c r="B122" s="9" t="e">
        <f>t8youth4</f>
        <v>#REF!</v>
      </c>
    </row>
    <row r="123" spans="1:2" x14ac:dyDescent="0.25">
      <c r="A123" t="s">
        <v>613</v>
      </c>
      <c r="B123" s="9" t="e">
        <f>t8youth5</f>
        <v>#REF!</v>
      </c>
    </row>
    <row r="124" spans="1:2" x14ac:dyDescent="0.25">
      <c r="A124" t="s">
        <v>614</v>
      </c>
      <c r="B124" s="9" t="e">
        <f>t8youth6</f>
        <v>#REF!</v>
      </c>
    </row>
    <row r="125" spans="1:2" x14ac:dyDescent="0.25">
      <c r="A125" t="s">
        <v>615</v>
      </c>
      <c r="B125" s="13" t="e">
        <f>Numecodet9</f>
        <v>#REF!</v>
      </c>
    </row>
    <row r="126" spans="1:2" x14ac:dyDescent="0.25">
      <c r="A126" t="s">
        <v>616</v>
      </c>
      <c r="B126" s="10" t="e">
        <f>Numealtt9</f>
        <v>#REF!</v>
      </c>
    </row>
    <row r="127" spans="1:2" x14ac:dyDescent="0.25">
      <c r="A127" t="s">
        <v>617</v>
      </c>
      <c r="B127" s="11" t="e">
        <f>t9yobgsal</f>
        <v>#REF!</v>
      </c>
    </row>
    <row r="128" spans="1:2" x14ac:dyDescent="0.25">
      <c r="A128" t="s">
        <v>618</v>
      </c>
      <c r="B128" s="11" t="e">
        <f>t9yobgserv</f>
        <v>#REF!</v>
      </c>
    </row>
    <row r="129" spans="1:2" x14ac:dyDescent="0.25">
      <c r="A129" t="s">
        <v>619</v>
      </c>
      <c r="B129" s="11" t="e">
        <f>t9yobgprof</f>
        <v>#REF!</v>
      </c>
    </row>
    <row r="130" spans="1:2" x14ac:dyDescent="0.25">
      <c r="A130" t="s">
        <v>620</v>
      </c>
      <c r="B130" s="11" t="e">
        <f>t9yobgcbo</f>
        <v>#REF!</v>
      </c>
    </row>
    <row r="131" spans="1:2" x14ac:dyDescent="0.25">
      <c r="A131" t="s">
        <v>621</v>
      </c>
      <c r="B131" s="11" t="e">
        <f>t9yobgequip</f>
        <v>#REF!</v>
      </c>
    </row>
    <row r="132" spans="1:2" x14ac:dyDescent="0.25">
      <c r="A132" t="s">
        <v>622</v>
      </c>
      <c r="B132" s="11" t="e">
        <f>t9yobgadmin</f>
        <v>#REF!</v>
      </c>
    </row>
    <row r="133" spans="1:2" x14ac:dyDescent="0.25">
      <c r="A133" t="s">
        <v>623</v>
      </c>
      <c r="B133" s="11" t="e">
        <f>t9yobgothr1</f>
        <v>#REF!</v>
      </c>
    </row>
    <row r="134" spans="1:2" x14ac:dyDescent="0.25">
      <c r="A134" t="s">
        <v>624</v>
      </c>
      <c r="B134" s="11" t="e">
        <f>t9yobgothr2</f>
        <v>#REF!</v>
      </c>
    </row>
    <row r="135" spans="1:2" x14ac:dyDescent="0.25">
      <c r="A135" t="s">
        <v>625</v>
      </c>
      <c r="B135" s="11" t="e">
        <f>t9yobgothr3</f>
        <v>#REF!</v>
      </c>
    </row>
    <row r="136" spans="1:2" x14ac:dyDescent="0.25">
      <c r="A136" t="s">
        <v>626</v>
      </c>
      <c r="B136" s="11" t="e">
        <f>t9yobgtot</f>
        <v>#REF!</v>
      </c>
    </row>
    <row r="137" spans="1:2" x14ac:dyDescent="0.25">
      <c r="A137" t="s">
        <v>627</v>
      </c>
      <c r="B137" s="11" t="e">
        <f>t9jjcpasal</f>
        <v>#REF!</v>
      </c>
    </row>
    <row r="138" spans="1:2" x14ac:dyDescent="0.25">
      <c r="A138" t="s">
        <v>628</v>
      </c>
      <c r="B138" s="11" t="e">
        <f>t9jjcpaserv</f>
        <v>#REF!</v>
      </c>
    </row>
    <row r="139" spans="1:2" x14ac:dyDescent="0.25">
      <c r="A139" t="s">
        <v>629</v>
      </c>
      <c r="B139" s="11" t="e">
        <f>t9jjcpaprof</f>
        <v>#REF!</v>
      </c>
    </row>
    <row r="140" spans="1:2" x14ac:dyDescent="0.25">
      <c r="A140" t="s">
        <v>630</v>
      </c>
      <c r="B140" s="11" t="e">
        <f>t9jjcpacbo</f>
        <v>#REF!</v>
      </c>
    </row>
    <row r="141" spans="1:2" x14ac:dyDescent="0.25">
      <c r="A141" t="s">
        <v>631</v>
      </c>
      <c r="B141" s="11" t="e">
        <f>t9jjcpaequip</f>
        <v>#REF!</v>
      </c>
    </row>
    <row r="142" spans="1:2" x14ac:dyDescent="0.25">
      <c r="A142" t="s">
        <v>632</v>
      </c>
      <c r="B142" s="11" t="e">
        <f>t9jjcpaadmin</f>
        <v>#REF!</v>
      </c>
    </row>
    <row r="143" spans="1:2" x14ac:dyDescent="0.25">
      <c r="A143" t="s">
        <v>633</v>
      </c>
      <c r="B143" s="11" t="e">
        <f>t9jjcpaothr1</f>
        <v>#REF!</v>
      </c>
    </row>
    <row r="144" spans="1:2" x14ac:dyDescent="0.25">
      <c r="A144" t="s">
        <v>634</v>
      </c>
      <c r="B144" s="11" t="e">
        <f>t9jjcpaothr2</f>
        <v>#REF!</v>
      </c>
    </row>
    <row r="145" spans="1:2" x14ac:dyDescent="0.25">
      <c r="A145" t="s">
        <v>635</v>
      </c>
      <c r="B145" s="11" t="e">
        <f>t9jjcpaothr3</f>
        <v>#REF!</v>
      </c>
    </row>
    <row r="146" spans="1:2" x14ac:dyDescent="0.25">
      <c r="A146" t="s">
        <v>636</v>
      </c>
      <c r="B146" s="11" t="e">
        <f>t9jjcpatot</f>
        <v>#REF!</v>
      </c>
    </row>
    <row r="147" spans="1:2" x14ac:dyDescent="0.25">
      <c r="A147" t="s">
        <v>637</v>
      </c>
      <c r="B147" s="11" t="e">
        <f>t9othersal</f>
        <v>#REF!</v>
      </c>
    </row>
    <row r="148" spans="1:2" x14ac:dyDescent="0.25">
      <c r="A148" t="s">
        <v>638</v>
      </c>
      <c r="B148" s="11" t="e">
        <f>t9otherserv</f>
        <v>#REF!</v>
      </c>
    </row>
    <row r="149" spans="1:2" x14ac:dyDescent="0.25">
      <c r="A149" t="s">
        <v>639</v>
      </c>
      <c r="B149" s="11" t="e">
        <f>t9otherprof</f>
        <v>#REF!</v>
      </c>
    </row>
    <row r="150" spans="1:2" x14ac:dyDescent="0.25">
      <c r="A150" t="s">
        <v>640</v>
      </c>
      <c r="B150" s="11" t="e">
        <f>t9othercbo</f>
        <v>#REF!</v>
      </c>
    </row>
    <row r="151" spans="1:2" x14ac:dyDescent="0.25">
      <c r="A151" t="s">
        <v>641</v>
      </c>
      <c r="B151" s="11" t="e">
        <f>t9otherequip</f>
        <v>#REF!</v>
      </c>
    </row>
    <row r="152" spans="1:2" x14ac:dyDescent="0.25">
      <c r="A152" t="s">
        <v>642</v>
      </c>
      <c r="B152" s="11" t="e">
        <f>t9otheradmin</f>
        <v>#REF!</v>
      </c>
    </row>
    <row r="153" spans="1:2" x14ac:dyDescent="0.25">
      <c r="A153" t="s">
        <v>643</v>
      </c>
      <c r="B153" s="11" t="e">
        <f>t9otherothr1</f>
        <v>#REF!</v>
      </c>
    </row>
    <row r="154" spans="1:2" x14ac:dyDescent="0.25">
      <c r="A154" t="s">
        <v>644</v>
      </c>
      <c r="B154" s="11" t="e">
        <f>t9otherothr2</f>
        <v>#REF!</v>
      </c>
    </row>
    <row r="155" spans="1:2" x14ac:dyDescent="0.25">
      <c r="A155" t="s">
        <v>645</v>
      </c>
      <c r="B155" s="11" t="e">
        <f>t9otherothr3</f>
        <v>#REF!</v>
      </c>
    </row>
    <row r="156" spans="1:2" x14ac:dyDescent="0.25">
      <c r="A156" t="s">
        <v>646</v>
      </c>
      <c r="B156" s="11" t="e">
        <f>t9othertot</f>
        <v>#REF!</v>
      </c>
    </row>
    <row r="157" spans="1:2" x14ac:dyDescent="0.25">
      <c r="A157" t="s">
        <v>647</v>
      </c>
      <c r="B157" s="9" t="e">
        <f>t9casecount</f>
        <v>#REF!</v>
      </c>
    </row>
    <row r="158" spans="1:2" x14ac:dyDescent="0.25">
      <c r="A158" t="s">
        <v>648</v>
      </c>
      <c r="B158" s="12" t="e">
        <f>t9yobgpercap</f>
        <v>#REF!</v>
      </c>
    </row>
    <row r="159" spans="1:2" x14ac:dyDescent="0.25">
      <c r="A159" t="s">
        <v>649</v>
      </c>
      <c r="B159" s="12" t="e">
        <f>t9totpercap</f>
        <v>#REF!</v>
      </c>
    </row>
    <row r="160" spans="1:2" x14ac:dyDescent="0.25">
      <c r="A160" t="s">
        <v>650</v>
      </c>
      <c r="B160" s="9" t="e">
        <f>t9youth1</f>
        <v>#REF!</v>
      </c>
    </row>
    <row r="161" spans="1:2" x14ac:dyDescent="0.25">
      <c r="A161" t="s">
        <v>651</v>
      </c>
      <c r="B161" s="9" t="e">
        <f>t9youth2</f>
        <v>#REF!</v>
      </c>
    </row>
    <row r="162" spans="1:2" x14ac:dyDescent="0.25">
      <c r="A162" t="s">
        <v>652</v>
      </c>
      <c r="B162" s="9" t="e">
        <f>t9youth3</f>
        <v>#REF!</v>
      </c>
    </row>
    <row r="163" spans="1:2" x14ac:dyDescent="0.25">
      <c r="A163" t="s">
        <v>653</v>
      </c>
      <c r="B163" s="9" t="e">
        <f>t9youth4</f>
        <v>#REF!</v>
      </c>
    </row>
    <row r="164" spans="1:2" x14ac:dyDescent="0.25">
      <c r="A164" t="s">
        <v>654</v>
      </c>
      <c r="B164" s="9" t="e">
        <f>t9youth5</f>
        <v>#REF!</v>
      </c>
    </row>
    <row r="165" spans="1:2" x14ac:dyDescent="0.25">
      <c r="A165" t="s">
        <v>655</v>
      </c>
      <c r="B165" s="9" t="e">
        <f>t9youth6</f>
        <v>#REF!</v>
      </c>
    </row>
    <row r="166" spans="1:2" x14ac:dyDescent="0.25">
      <c r="A166" t="s">
        <v>656</v>
      </c>
      <c r="B166" s="13" t="e">
        <f>Numecodet10</f>
        <v>#REF!</v>
      </c>
    </row>
    <row r="167" spans="1:2" x14ac:dyDescent="0.25">
      <c r="A167" t="s">
        <v>657</v>
      </c>
      <c r="B167" s="10" t="e">
        <f>Numealtt10</f>
        <v>#REF!</v>
      </c>
    </row>
    <row r="168" spans="1:2" x14ac:dyDescent="0.25">
      <c r="A168" t="s">
        <v>658</v>
      </c>
      <c r="B168" s="11" t="e">
        <f>t10yobgsal</f>
        <v>#REF!</v>
      </c>
    </row>
    <row r="169" spans="1:2" x14ac:dyDescent="0.25">
      <c r="A169" t="s">
        <v>659</v>
      </c>
      <c r="B169" s="11" t="e">
        <f>t10yobgserv</f>
        <v>#REF!</v>
      </c>
    </row>
    <row r="170" spans="1:2" x14ac:dyDescent="0.25">
      <c r="A170" t="s">
        <v>660</v>
      </c>
      <c r="B170" s="11" t="e">
        <f>t10yobgprof</f>
        <v>#REF!</v>
      </c>
    </row>
    <row r="171" spans="1:2" x14ac:dyDescent="0.25">
      <c r="A171" t="s">
        <v>661</v>
      </c>
      <c r="B171" s="11" t="e">
        <f>t10yobgcbo</f>
        <v>#REF!</v>
      </c>
    </row>
    <row r="172" spans="1:2" x14ac:dyDescent="0.25">
      <c r="A172" t="s">
        <v>662</v>
      </c>
      <c r="B172" s="11" t="e">
        <f>t10yobgequip</f>
        <v>#REF!</v>
      </c>
    </row>
    <row r="173" spans="1:2" x14ac:dyDescent="0.25">
      <c r="A173" t="s">
        <v>663</v>
      </c>
      <c r="B173" s="11" t="e">
        <f>t10yobgadmin</f>
        <v>#REF!</v>
      </c>
    </row>
    <row r="174" spans="1:2" x14ac:dyDescent="0.25">
      <c r="A174" t="s">
        <v>664</v>
      </c>
      <c r="B174" s="11" t="e">
        <f>t10yobgothr1</f>
        <v>#REF!</v>
      </c>
    </row>
    <row r="175" spans="1:2" x14ac:dyDescent="0.25">
      <c r="A175" t="s">
        <v>665</v>
      </c>
      <c r="B175" s="11" t="e">
        <f>t10yobgothr2</f>
        <v>#REF!</v>
      </c>
    </row>
    <row r="176" spans="1:2" x14ac:dyDescent="0.25">
      <c r="A176" t="s">
        <v>666</v>
      </c>
      <c r="B176" s="11" t="e">
        <f>t10yobgothr3</f>
        <v>#REF!</v>
      </c>
    </row>
    <row r="177" spans="1:2" x14ac:dyDescent="0.25">
      <c r="A177" t="s">
        <v>667</v>
      </c>
      <c r="B177" s="11" t="e">
        <f>t10yobgtot</f>
        <v>#REF!</v>
      </c>
    </row>
    <row r="178" spans="1:2" x14ac:dyDescent="0.25">
      <c r="A178" t="s">
        <v>668</v>
      </c>
      <c r="B178" s="11" t="e">
        <f>t10jjcpasal</f>
        <v>#REF!</v>
      </c>
    </row>
    <row r="179" spans="1:2" x14ac:dyDescent="0.25">
      <c r="A179" t="s">
        <v>669</v>
      </c>
      <c r="B179" s="11" t="e">
        <f>t10jjcpaserv</f>
        <v>#REF!</v>
      </c>
    </row>
    <row r="180" spans="1:2" x14ac:dyDescent="0.25">
      <c r="A180" t="s">
        <v>670</v>
      </c>
      <c r="B180" s="11" t="e">
        <f>t10jjcpaprof</f>
        <v>#REF!</v>
      </c>
    </row>
    <row r="181" spans="1:2" x14ac:dyDescent="0.25">
      <c r="A181" t="s">
        <v>671</v>
      </c>
      <c r="B181" s="11" t="e">
        <f>t10jjcpacbo</f>
        <v>#REF!</v>
      </c>
    </row>
    <row r="182" spans="1:2" x14ac:dyDescent="0.25">
      <c r="A182" t="s">
        <v>672</v>
      </c>
      <c r="B182" s="11" t="e">
        <f>t10jjcpaequip</f>
        <v>#REF!</v>
      </c>
    </row>
    <row r="183" spans="1:2" x14ac:dyDescent="0.25">
      <c r="A183" t="s">
        <v>673</v>
      </c>
      <c r="B183" s="11" t="e">
        <f>t10jjcpaadmin</f>
        <v>#REF!</v>
      </c>
    </row>
    <row r="184" spans="1:2" x14ac:dyDescent="0.25">
      <c r="A184" t="s">
        <v>674</v>
      </c>
      <c r="B184" s="11" t="e">
        <f>t10jjcpaothr1</f>
        <v>#REF!</v>
      </c>
    </row>
    <row r="185" spans="1:2" x14ac:dyDescent="0.25">
      <c r="A185" t="s">
        <v>675</v>
      </c>
      <c r="B185" s="11" t="e">
        <f>t10jjcpaothr2</f>
        <v>#REF!</v>
      </c>
    </row>
    <row r="186" spans="1:2" x14ac:dyDescent="0.25">
      <c r="A186" t="s">
        <v>676</v>
      </c>
      <c r="B186" s="11" t="e">
        <f>t10jjcpaothr3</f>
        <v>#REF!</v>
      </c>
    </row>
    <row r="187" spans="1:2" x14ac:dyDescent="0.25">
      <c r="A187" t="s">
        <v>677</v>
      </c>
      <c r="B187" s="11" t="e">
        <f>t10jjcpatot</f>
        <v>#REF!</v>
      </c>
    </row>
    <row r="188" spans="1:2" x14ac:dyDescent="0.25">
      <c r="A188" t="s">
        <v>678</v>
      </c>
      <c r="B188" s="11" t="e">
        <f>t10othersal</f>
        <v>#REF!</v>
      </c>
    </row>
    <row r="189" spans="1:2" x14ac:dyDescent="0.25">
      <c r="A189" t="s">
        <v>679</v>
      </c>
      <c r="B189" s="11" t="e">
        <f>t10otherserv</f>
        <v>#REF!</v>
      </c>
    </row>
    <row r="190" spans="1:2" x14ac:dyDescent="0.25">
      <c r="A190" t="s">
        <v>680</v>
      </c>
      <c r="B190" s="11" t="e">
        <f>t10otherprof</f>
        <v>#REF!</v>
      </c>
    </row>
    <row r="191" spans="1:2" x14ac:dyDescent="0.25">
      <c r="A191" t="s">
        <v>681</v>
      </c>
      <c r="B191" s="11" t="e">
        <f>t10othercbo</f>
        <v>#REF!</v>
      </c>
    </row>
    <row r="192" spans="1:2" x14ac:dyDescent="0.25">
      <c r="A192" t="s">
        <v>682</v>
      </c>
      <c r="B192" s="11" t="e">
        <f>t10otherequip</f>
        <v>#REF!</v>
      </c>
    </row>
    <row r="193" spans="1:2" x14ac:dyDescent="0.25">
      <c r="A193" t="s">
        <v>683</v>
      </c>
      <c r="B193" s="11" t="e">
        <f>t10otheradmin</f>
        <v>#REF!</v>
      </c>
    </row>
    <row r="194" spans="1:2" x14ac:dyDescent="0.25">
      <c r="A194" t="s">
        <v>684</v>
      </c>
      <c r="B194" s="11" t="e">
        <f>t10otherothr1</f>
        <v>#REF!</v>
      </c>
    </row>
    <row r="195" spans="1:2" x14ac:dyDescent="0.25">
      <c r="A195" t="s">
        <v>685</v>
      </c>
      <c r="B195" s="11" t="e">
        <f>t10otherothr2</f>
        <v>#REF!</v>
      </c>
    </row>
    <row r="196" spans="1:2" x14ac:dyDescent="0.25">
      <c r="A196" t="s">
        <v>686</v>
      </c>
      <c r="B196" s="11" t="e">
        <f>t10otherothr3</f>
        <v>#REF!</v>
      </c>
    </row>
    <row r="197" spans="1:2" x14ac:dyDescent="0.25">
      <c r="A197" t="s">
        <v>687</v>
      </c>
      <c r="B197" s="11" t="e">
        <f>t10othertot</f>
        <v>#REF!</v>
      </c>
    </row>
    <row r="198" spans="1:2" x14ac:dyDescent="0.25">
      <c r="A198" t="s">
        <v>688</v>
      </c>
      <c r="B198" s="9" t="e">
        <f>t10casecount</f>
        <v>#REF!</v>
      </c>
    </row>
    <row r="199" spans="1:2" x14ac:dyDescent="0.25">
      <c r="A199" t="s">
        <v>689</v>
      </c>
      <c r="B199" s="12" t="e">
        <f>t10yobgpercap</f>
        <v>#REF!</v>
      </c>
    </row>
    <row r="200" spans="1:2" x14ac:dyDescent="0.25">
      <c r="A200" t="s">
        <v>690</v>
      </c>
      <c r="B200" s="12" t="e">
        <f>t10totpercap</f>
        <v>#REF!</v>
      </c>
    </row>
    <row r="201" spans="1:2" x14ac:dyDescent="0.25">
      <c r="A201" t="s">
        <v>691</v>
      </c>
      <c r="B201" s="9" t="e">
        <f>t10youth1</f>
        <v>#REF!</v>
      </c>
    </row>
    <row r="202" spans="1:2" x14ac:dyDescent="0.25">
      <c r="A202" t="s">
        <v>692</v>
      </c>
      <c r="B202" s="9" t="e">
        <f>t10youth2</f>
        <v>#REF!</v>
      </c>
    </row>
    <row r="203" spans="1:2" x14ac:dyDescent="0.25">
      <c r="A203" t="s">
        <v>693</v>
      </c>
      <c r="B203" s="9" t="e">
        <f>t10youth3</f>
        <v>#REF!</v>
      </c>
    </row>
    <row r="204" spans="1:2" x14ac:dyDescent="0.25">
      <c r="A204" t="s">
        <v>694</v>
      </c>
      <c r="B204" s="9" t="e">
        <f>t10youth4</f>
        <v>#REF!</v>
      </c>
    </row>
    <row r="205" spans="1:2" x14ac:dyDescent="0.25">
      <c r="A205" t="s">
        <v>695</v>
      </c>
      <c r="B205" s="9" t="e">
        <f>t10youth5</f>
        <v>#REF!</v>
      </c>
    </row>
    <row r="206" spans="1:2" x14ac:dyDescent="0.25">
      <c r="A206" t="s">
        <v>696</v>
      </c>
      <c r="B206" s="9" t="e">
        <f>t10youth6</f>
        <v>#REF!</v>
      </c>
    </row>
    <row r="207" spans="1:2" x14ac:dyDescent="0.25">
      <c r="A207" t="s">
        <v>697</v>
      </c>
      <c r="B207" s="9">
        <f>asi</f>
        <v>0</v>
      </c>
    </row>
    <row r="208" spans="1:2" x14ac:dyDescent="0.25">
      <c r="A208" t="s">
        <v>231</v>
      </c>
      <c r="B208" s="9">
        <f>bot</f>
        <v>0</v>
      </c>
    </row>
    <row r="209" spans="1:2" x14ac:dyDescent="0.25">
      <c r="A209" t="s">
        <v>698</v>
      </c>
      <c r="B209" s="9">
        <f>COMPAS</f>
        <v>0</v>
      </c>
    </row>
    <row r="210" spans="1:2" x14ac:dyDescent="0.25">
      <c r="A210" t="s">
        <v>699</v>
      </c>
      <c r="B210" s="9">
        <f>JAIS</f>
        <v>0</v>
      </c>
    </row>
    <row r="211" spans="1:2" x14ac:dyDescent="0.25">
      <c r="A211" t="s">
        <v>700</v>
      </c>
      <c r="B211" s="9">
        <f>LSIR</f>
        <v>0</v>
      </c>
    </row>
    <row r="212" spans="1:2" x14ac:dyDescent="0.25">
      <c r="A212" t="s">
        <v>701</v>
      </c>
      <c r="B212" s="9">
        <f>MAYSI2</f>
        <v>0</v>
      </c>
    </row>
    <row r="213" spans="1:2" x14ac:dyDescent="0.25">
      <c r="A213" t="s">
        <v>702</v>
      </c>
      <c r="B213" s="9">
        <f>MAYSI</f>
        <v>0</v>
      </c>
    </row>
    <row r="214" spans="1:2" x14ac:dyDescent="0.25">
      <c r="A214" t="s">
        <v>703</v>
      </c>
      <c r="B214" s="9">
        <f>NIC</f>
        <v>0</v>
      </c>
    </row>
    <row r="215" spans="1:2" x14ac:dyDescent="0.25">
      <c r="A215" t="s">
        <v>704</v>
      </c>
      <c r="B215" s="9">
        <f>PACT</f>
        <v>0</v>
      </c>
    </row>
    <row r="216" spans="1:2" x14ac:dyDescent="0.25">
      <c r="A216" t="s">
        <v>705</v>
      </c>
      <c r="B216" s="9">
        <f>RRC</f>
        <v>0</v>
      </c>
    </row>
    <row r="217" spans="1:2" x14ac:dyDescent="0.25">
      <c r="A217" t="s">
        <v>706</v>
      </c>
      <c r="B217" s="9">
        <f>YLSCMI</f>
        <v>0</v>
      </c>
    </row>
    <row r="218" spans="1:2" x14ac:dyDescent="0.25">
      <c r="A218" t="s">
        <v>707</v>
      </c>
      <c r="B218" s="9">
        <f>othrassessmentname1</f>
        <v>0</v>
      </c>
    </row>
    <row r="219" spans="1:2" x14ac:dyDescent="0.25">
      <c r="A219" t="s">
        <v>708</v>
      </c>
      <c r="B219" s="9">
        <f>othrassess1</f>
        <v>0</v>
      </c>
    </row>
    <row r="220" spans="1:2" x14ac:dyDescent="0.25">
      <c r="A220" t="s">
        <v>709</v>
      </c>
      <c r="B220" s="9">
        <f>othrassessmentname2</f>
        <v>0</v>
      </c>
    </row>
    <row r="221" spans="1:2" x14ac:dyDescent="0.25">
      <c r="A221" t="s">
        <v>710</v>
      </c>
      <c r="B221" s="9">
        <f>othrassess2</f>
        <v>0</v>
      </c>
    </row>
    <row r="222" spans="1:2" x14ac:dyDescent="0.25">
      <c r="A222" t="s">
        <v>711</v>
      </c>
      <c r="B222" s="9">
        <f>othrassessmentname3</f>
        <v>0</v>
      </c>
    </row>
    <row r="223" spans="1:2" x14ac:dyDescent="0.25">
      <c r="A223" t="s">
        <v>712</v>
      </c>
      <c r="B223" s="9">
        <f>othrassess3</f>
        <v>0</v>
      </c>
    </row>
    <row r="224" spans="1:2" x14ac:dyDescent="0.25">
      <c r="A224" t="s">
        <v>713</v>
      </c>
      <c r="B224" s="9">
        <f>othrassessmentname4</f>
        <v>0</v>
      </c>
    </row>
    <row r="225" spans="1:2" x14ac:dyDescent="0.25">
      <c r="A225" t="s">
        <v>714</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267</v>
      </c>
      <c r="B1" s="22" t="str">
        <f>County</f>
        <v>Ventura</v>
      </c>
    </row>
    <row r="2" spans="1:2" x14ac:dyDescent="0.25">
      <c r="A2" t="s">
        <v>715</v>
      </c>
      <c r="B2" s="9">
        <f>coord1</f>
        <v>0</v>
      </c>
    </row>
    <row r="3" spans="1:2" x14ac:dyDescent="0.25">
      <c r="A3" t="s">
        <v>716</v>
      </c>
      <c r="B3" s="9">
        <f>coord2</f>
        <v>0</v>
      </c>
    </row>
    <row r="4" spans="1:2" x14ac:dyDescent="0.25">
      <c r="A4" s="1" t="s">
        <v>717</v>
      </c>
      <c r="B4" s="26">
        <f>strategy</f>
        <v>0</v>
      </c>
    </row>
    <row r="5" spans="1:2" x14ac:dyDescent="0.25">
      <c r="A5" s="1" t="s">
        <v>718</v>
      </c>
      <c r="B5" s="26">
        <f>stratnar</f>
        <v>0</v>
      </c>
    </row>
    <row r="6" spans="1:2" x14ac:dyDescent="0.25">
      <c r="A6" s="1" t="s">
        <v>719</v>
      </c>
      <c r="B6" s="26">
        <f>stratdf</f>
        <v>0</v>
      </c>
    </row>
    <row r="7" spans="1:2" x14ac:dyDescent="0.25">
      <c r="A7" s="1" t="s">
        <v>720</v>
      </c>
      <c r="B7" s="26">
        <f>stratplan</f>
        <v>0</v>
      </c>
    </row>
    <row r="8" spans="1:2" x14ac:dyDescent="0.25">
      <c r="A8" s="1" t="s">
        <v>721</v>
      </c>
      <c r="B8" s="26">
        <f>coordnar</f>
        <v>0</v>
      </c>
    </row>
    <row r="9" spans="1:2" x14ac:dyDescent="0.25">
      <c r="A9" s="1" t="s">
        <v>722</v>
      </c>
      <c r="B9" s="1">
        <f>regional</f>
        <v>0</v>
      </c>
    </row>
    <row r="10" spans="1:2" x14ac:dyDescent="0.25">
      <c r="A10" t="s">
        <v>287</v>
      </c>
      <c r="B10" s="10" t="e">
        <f>Numecodet1</f>
        <v>#REF!</v>
      </c>
    </row>
    <row r="11" spans="1:2" x14ac:dyDescent="0.25">
      <c r="A11" t="s">
        <v>288</v>
      </c>
      <c r="B11" s="10" t="e">
        <f>Numealtt1</f>
        <v>#REF!</v>
      </c>
    </row>
    <row r="12" spans="1:2" x14ac:dyDescent="0.25">
      <c r="A12" t="s">
        <v>723</v>
      </c>
      <c r="B12" s="10" t="e">
        <f>JJCPAt1</f>
        <v>#REF!</v>
      </c>
    </row>
    <row r="13" spans="1:2" x14ac:dyDescent="0.25">
      <c r="A13" t="s">
        <v>724</v>
      </c>
      <c r="B13" s="10" t="e">
        <f>Othert1</f>
        <v>#REF!</v>
      </c>
    </row>
    <row r="14" spans="1:2" x14ac:dyDescent="0.25">
      <c r="A14" t="s">
        <v>319</v>
      </c>
      <c r="B14" s="9" t="e">
        <f>t1casecount</f>
        <v>#REF!</v>
      </c>
    </row>
    <row r="15" spans="1:2" x14ac:dyDescent="0.25">
      <c r="A15" t="s">
        <v>320</v>
      </c>
      <c r="B15" s="12" t="e">
        <f>t1yobgpercap</f>
        <v>#REF!</v>
      </c>
    </row>
    <row r="16" spans="1:2" x14ac:dyDescent="0.25">
      <c r="A16" t="s">
        <v>321</v>
      </c>
      <c r="B16" s="12" t="e">
        <f>t1totpercap</f>
        <v>#REF!</v>
      </c>
    </row>
    <row r="17" spans="1:2" x14ac:dyDescent="0.25">
      <c r="A17" t="s">
        <v>725</v>
      </c>
      <c r="B17" t="e">
        <f>t1nar</f>
        <v>#REF!</v>
      </c>
    </row>
    <row r="18" spans="1:2" x14ac:dyDescent="0.25">
      <c r="A18" t="s">
        <v>726</v>
      </c>
      <c r="B18" t="e">
        <f>t1goal</f>
        <v>#REF!</v>
      </c>
    </row>
    <row r="19" spans="1:2" x14ac:dyDescent="0.25">
      <c r="A19" t="s">
        <v>727</v>
      </c>
      <c r="B19" t="e">
        <f>t1barrier</f>
        <v>#REF!</v>
      </c>
    </row>
    <row r="20" spans="1:2" x14ac:dyDescent="0.25">
      <c r="A20" t="s">
        <v>728</v>
      </c>
      <c r="B20" t="e">
        <f>t1funds</f>
        <v>#REF!</v>
      </c>
    </row>
    <row r="21" spans="1:2" x14ac:dyDescent="0.25">
      <c r="A21" t="s">
        <v>729</v>
      </c>
      <c r="B21">
        <f>t1other1</f>
        <v>0</v>
      </c>
    </row>
    <row r="22" spans="1:2" x14ac:dyDescent="0.25">
      <c r="A22" t="s">
        <v>730</v>
      </c>
      <c r="B22">
        <f>t1other2</f>
        <v>0</v>
      </c>
    </row>
    <row r="23" spans="1:2" x14ac:dyDescent="0.25">
      <c r="A23" t="s">
        <v>731</v>
      </c>
      <c r="B23">
        <f>t1other3</f>
        <v>0</v>
      </c>
    </row>
    <row r="24" spans="1:2" x14ac:dyDescent="0.25">
      <c r="A24" t="s">
        <v>328</v>
      </c>
      <c r="B24" s="13" t="e">
        <f>Numecodet2</f>
        <v>#REF!</v>
      </c>
    </row>
    <row r="25" spans="1:2" x14ac:dyDescent="0.25">
      <c r="A25" t="s">
        <v>329</v>
      </c>
      <c r="B25" s="10" t="e">
        <f>Numealtt2</f>
        <v>#REF!</v>
      </c>
    </row>
    <row r="26" spans="1:2" x14ac:dyDescent="0.25">
      <c r="A26" t="s">
        <v>732</v>
      </c>
      <c r="B26" s="10" t="e">
        <f>JJCPAt2</f>
        <v>#REF!</v>
      </c>
    </row>
    <row r="27" spans="1:2" x14ac:dyDescent="0.25">
      <c r="A27" t="s">
        <v>733</v>
      </c>
      <c r="B27" s="10" t="e">
        <f>Othert2</f>
        <v>#REF!</v>
      </c>
    </row>
    <row r="28" spans="1:2" x14ac:dyDescent="0.25">
      <c r="A28" t="s">
        <v>360</v>
      </c>
      <c r="B28" s="9" t="e">
        <f>t2casecount</f>
        <v>#REF!</v>
      </c>
    </row>
    <row r="29" spans="1:2" x14ac:dyDescent="0.25">
      <c r="A29" t="s">
        <v>361</v>
      </c>
      <c r="B29" s="12" t="e">
        <f>t2yobgpercap</f>
        <v>#REF!</v>
      </c>
    </row>
    <row r="30" spans="1:2" x14ac:dyDescent="0.25">
      <c r="A30" t="s">
        <v>362</v>
      </c>
      <c r="B30" s="12" t="e">
        <f>t2totpercap</f>
        <v>#REF!</v>
      </c>
    </row>
    <row r="31" spans="1:2" x14ac:dyDescent="0.25">
      <c r="A31" t="s">
        <v>734</v>
      </c>
      <c r="B31" t="e">
        <f>t2nar</f>
        <v>#REF!</v>
      </c>
    </row>
    <row r="32" spans="1:2" x14ac:dyDescent="0.25">
      <c r="A32" t="s">
        <v>735</v>
      </c>
      <c r="B32" t="e">
        <f>t2goal</f>
        <v>#REF!</v>
      </c>
    </row>
    <row r="33" spans="1:2" x14ac:dyDescent="0.25">
      <c r="A33" t="s">
        <v>736</v>
      </c>
      <c r="B33" t="e">
        <f>t2barrier</f>
        <v>#REF!</v>
      </c>
    </row>
    <row r="34" spans="1:2" x14ac:dyDescent="0.25">
      <c r="A34" t="s">
        <v>737</v>
      </c>
      <c r="B34" t="e">
        <f>t2funds</f>
        <v>#REF!</v>
      </c>
    </row>
    <row r="35" spans="1:2" x14ac:dyDescent="0.25">
      <c r="A35" t="s">
        <v>738</v>
      </c>
      <c r="B35" t="e">
        <f>t2other1</f>
        <v>#REF!</v>
      </c>
    </row>
    <row r="36" spans="1:2" x14ac:dyDescent="0.25">
      <c r="A36" t="s">
        <v>739</v>
      </c>
      <c r="B36" t="e">
        <f>t2other2</f>
        <v>#REF!</v>
      </c>
    </row>
    <row r="37" spans="1:2" x14ac:dyDescent="0.25">
      <c r="A37" t="s">
        <v>740</v>
      </c>
      <c r="B37" t="e">
        <f>t2other3</f>
        <v>#REF!</v>
      </c>
    </row>
    <row r="38" spans="1:2" x14ac:dyDescent="0.25">
      <c r="A38" t="s">
        <v>369</v>
      </c>
      <c r="B38" s="13" t="e">
        <f>Numecodet3</f>
        <v>#REF!</v>
      </c>
    </row>
    <row r="39" spans="1:2" x14ac:dyDescent="0.25">
      <c r="A39" t="s">
        <v>370</v>
      </c>
      <c r="B39" s="10" t="e">
        <f>Numealtt3</f>
        <v>#REF!</v>
      </c>
    </row>
    <row r="40" spans="1:2" x14ac:dyDescent="0.25">
      <c r="A40" t="s">
        <v>741</v>
      </c>
      <c r="B40" s="10" t="e">
        <f>JJCPAt3</f>
        <v>#REF!</v>
      </c>
    </row>
    <row r="41" spans="1:2" x14ac:dyDescent="0.25">
      <c r="A41" t="s">
        <v>742</v>
      </c>
      <c r="B41" s="10" t="e">
        <f>Othert3</f>
        <v>#REF!</v>
      </c>
    </row>
    <row r="42" spans="1:2" x14ac:dyDescent="0.25">
      <c r="A42" t="s">
        <v>401</v>
      </c>
      <c r="B42" s="9" t="e">
        <f>t3casecount</f>
        <v>#REF!</v>
      </c>
    </row>
    <row r="43" spans="1:2" x14ac:dyDescent="0.25">
      <c r="A43" t="s">
        <v>402</v>
      </c>
      <c r="B43" s="12" t="e">
        <f>t3yobgpercap</f>
        <v>#REF!</v>
      </c>
    </row>
    <row r="44" spans="1:2" x14ac:dyDescent="0.25">
      <c r="A44" t="s">
        <v>403</v>
      </c>
      <c r="B44" s="12" t="e">
        <f>t3totpercap</f>
        <v>#REF!</v>
      </c>
    </row>
    <row r="45" spans="1:2" x14ac:dyDescent="0.25">
      <c r="A45" t="s">
        <v>743</v>
      </c>
      <c r="B45" t="e">
        <f>t3nar</f>
        <v>#REF!</v>
      </c>
    </row>
    <row r="46" spans="1:2" x14ac:dyDescent="0.25">
      <c r="A46" t="s">
        <v>744</v>
      </c>
      <c r="B46" t="e">
        <f>t3goal</f>
        <v>#REF!</v>
      </c>
    </row>
    <row r="47" spans="1:2" x14ac:dyDescent="0.25">
      <c r="A47" t="s">
        <v>745</v>
      </c>
      <c r="B47" t="e">
        <f>t3barrier</f>
        <v>#REF!</v>
      </c>
    </row>
    <row r="48" spans="1:2" x14ac:dyDescent="0.25">
      <c r="A48" t="s">
        <v>746</v>
      </c>
      <c r="B48" t="e">
        <f>t3funds</f>
        <v>#REF!</v>
      </c>
    </row>
    <row r="49" spans="1:2" x14ac:dyDescent="0.25">
      <c r="A49" t="s">
        <v>747</v>
      </c>
      <c r="B49" t="e">
        <f>t3other1</f>
        <v>#REF!</v>
      </c>
    </row>
    <row r="50" spans="1:2" x14ac:dyDescent="0.25">
      <c r="A50" t="s">
        <v>748</v>
      </c>
      <c r="B50" t="e">
        <f>t3other2</f>
        <v>#REF!</v>
      </c>
    </row>
    <row r="51" spans="1:2" x14ac:dyDescent="0.25">
      <c r="A51" t="s">
        <v>749</v>
      </c>
      <c r="B51" t="e">
        <f>t3other3</f>
        <v>#REF!</v>
      </c>
    </row>
    <row r="52" spans="1:2" x14ac:dyDescent="0.25">
      <c r="A52" t="s">
        <v>410</v>
      </c>
      <c r="B52" s="13" t="e">
        <f>Numecodet4</f>
        <v>#REF!</v>
      </c>
    </row>
    <row r="53" spans="1:2" x14ac:dyDescent="0.25">
      <c r="A53" t="s">
        <v>411</v>
      </c>
      <c r="B53" s="10" t="e">
        <f>Numealtt4</f>
        <v>#REF!</v>
      </c>
    </row>
    <row r="54" spans="1:2" x14ac:dyDescent="0.25">
      <c r="A54" t="s">
        <v>750</v>
      </c>
      <c r="B54" s="10" t="e">
        <f>JJCPAt4</f>
        <v>#REF!</v>
      </c>
    </row>
    <row r="55" spans="1:2" x14ac:dyDescent="0.25">
      <c r="A55" t="s">
        <v>751</v>
      </c>
      <c r="B55" s="10" t="e">
        <f>Othert4</f>
        <v>#REF!</v>
      </c>
    </row>
    <row r="56" spans="1:2" x14ac:dyDescent="0.25">
      <c r="A56" t="s">
        <v>442</v>
      </c>
      <c r="B56" s="9" t="e">
        <f>t4casecount</f>
        <v>#REF!</v>
      </c>
    </row>
    <row r="57" spans="1:2" x14ac:dyDescent="0.25">
      <c r="A57" t="s">
        <v>443</v>
      </c>
      <c r="B57" s="12" t="e">
        <f>t4yobgpercap</f>
        <v>#REF!</v>
      </c>
    </row>
    <row r="58" spans="1:2" x14ac:dyDescent="0.25">
      <c r="A58" t="s">
        <v>444</v>
      </c>
      <c r="B58" s="12" t="e">
        <f>t4totpercap</f>
        <v>#REF!</v>
      </c>
    </row>
    <row r="59" spans="1:2" x14ac:dyDescent="0.25">
      <c r="A59" t="s">
        <v>752</v>
      </c>
      <c r="B59" t="e">
        <f>t4nar</f>
        <v>#REF!</v>
      </c>
    </row>
    <row r="60" spans="1:2" x14ac:dyDescent="0.25">
      <c r="A60" t="s">
        <v>753</v>
      </c>
      <c r="B60" t="e">
        <f>t4goal</f>
        <v>#REF!</v>
      </c>
    </row>
    <row r="61" spans="1:2" x14ac:dyDescent="0.25">
      <c r="A61" t="s">
        <v>754</v>
      </c>
      <c r="B61" t="e">
        <f>t4barrier</f>
        <v>#REF!</v>
      </c>
    </row>
    <row r="62" spans="1:2" x14ac:dyDescent="0.25">
      <c r="A62" t="s">
        <v>755</v>
      </c>
      <c r="B62" t="e">
        <f>t4funds</f>
        <v>#REF!</v>
      </c>
    </row>
    <row r="63" spans="1:2" x14ac:dyDescent="0.25">
      <c r="A63" t="s">
        <v>756</v>
      </c>
      <c r="B63" t="e">
        <f>t4other1</f>
        <v>#REF!</v>
      </c>
    </row>
    <row r="64" spans="1:2" x14ac:dyDescent="0.25">
      <c r="A64" t="s">
        <v>757</v>
      </c>
      <c r="B64" t="e">
        <f>t4other2</f>
        <v>#REF!</v>
      </c>
    </row>
    <row r="65" spans="1:2" x14ac:dyDescent="0.25">
      <c r="A65" t="s">
        <v>758</v>
      </c>
      <c r="B65" t="e">
        <f>t4other3</f>
        <v>#REF!</v>
      </c>
    </row>
    <row r="66" spans="1:2" x14ac:dyDescent="0.25">
      <c r="A66" t="s">
        <v>451</v>
      </c>
      <c r="B66" s="13" t="e">
        <f>Numecodet5</f>
        <v>#REF!</v>
      </c>
    </row>
    <row r="67" spans="1:2" x14ac:dyDescent="0.25">
      <c r="A67" t="s">
        <v>452</v>
      </c>
      <c r="B67" s="10" t="e">
        <f>Numealtt5</f>
        <v>#REF!</v>
      </c>
    </row>
    <row r="68" spans="1:2" x14ac:dyDescent="0.25">
      <c r="A68" t="s">
        <v>759</v>
      </c>
      <c r="B68" s="10" t="e">
        <f>JJCPAt5</f>
        <v>#REF!</v>
      </c>
    </row>
    <row r="69" spans="1:2" x14ac:dyDescent="0.25">
      <c r="A69" t="s">
        <v>760</v>
      </c>
      <c r="B69" s="10" t="e">
        <f>Othert5</f>
        <v>#REF!</v>
      </c>
    </row>
    <row r="70" spans="1:2" x14ac:dyDescent="0.25">
      <c r="A70" t="s">
        <v>483</v>
      </c>
      <c r="B70" s="9" t="e">
        <f>t5casecount</f>
        <v>#REF!</v>
      </c>
    </row>
    <row r="71" spans="1:2" x14ac:dyDescent="0.25">
      <c r="A71" t="s">
        <v>484</v>
      </c>
      <c r="B71" s="12" t="e">
        <f>t5yobgpercap</f>
        <v>#REF!</v>
      </c>
    </row>
    <row r="72" spans="1:2" x14ac:dyDescent="0.25">
      <c r="A72" t="s">
        <v>485</v>
      </c>
      <c r="B72" s="12" t="e">
        <f>t5totpercap</f>
        <v>#REF!</v>
      </c>
    </row>
    <row r="73" spans="1:2" x14ac:dyDescent="0.25">
      <c r="A73" t="s">
        <v>761</v>
      </c>
      <c r="B73" t="e">
        <f>t5nar</f>
        <v>#REF!</v>
      </c>
    </row>
    <row r="74" spans="1:2" x14ac:dyDescent="0.25">
      <c r="A74" t="s">
        <v>762</v>
      </c>
      <c r="B74" t="e">
        <f>t5goal</f>
        <v>#REF!</v>
      </c>
    </row>
    <row r="75" spans="1:2" x14ac:dyDescent="0.25">
      <c r="A75" t="s">
        <v>763</v>
      </c>
      <c r="B75" t="e">
        <f>t5barrier</f>
        <v>#REF!</v>
      </c>
    </row>
    <row r="76" spans="1:2" x14ac:dyDescent="0.25">
      <c r="A76" t="s">
        <v>764</v>
      </c>
      <c r="B76" t="e">
        <f>t5funds</f>
        <v>#REF!</v>
      </c>
    </row>
    <row r="77" spans="1:2" x14ac:dyDescent="0.25">
      <c r="A77" t="s">
        <v>765</v>
      </c>
      <c r="B77" t="e">
        <f>t5other1</f>
        <v>#REF!</v>
      </c>
    </row>
    <row r="78" spans="1:2" x14ac:dyDescent="0.25">
      <c r="A78" t="s">
        <v>766</v>
      </c>
      <c r="B78" t="e">
        <f>t5other2</f>
        <v>#REF!</v>
      </c>
    </row>
    <row r="79" spans="1:2" x14ac:dyDescent="0.25">
      <c r="A79" t="s">
        <v>767</v>
      </c>
      <c r="B79" t="e">
        <f>t5other3</f>
        <v>#REF!</v>
      </c>
    </row>
    <row r="80" spans="1:2" x14ac:dyDescent="0.25">
      <c r="A80" t="s">
        <v>492</v>
      </c>
      <c r="B80" s="13" t="e">
        <f>Numecodet6</f>
        <v>#REF!</v>
      </c>
    </row>
    <row r="81" spans="1:2" x14ac:dyDescent="0.25">
      <c r="A81" t="s">
        <v>493</v>
      </c>
      <c r="B81" s="10" t="e">
        <f>Numealtt6</f>
        <v>#REF!</v>
      </c>
    </row>
    <row r="82" spans="1:2" x14ac:dyDescent="0.25">
      <c r="A82" t="s">
        <v>768</v>
      </c>
      <c r="B82" s="10" t="e">
        <f>JJCPAt6</f>
        <v>#REF!</v>
      </c>
    </row>
    <row r="83" spans="1:2" x14ac:dyDescent="0.25">
      <c r="A83" t="s">
        <v>769</v>
      </c>
      <c r="B83" s="10" t="e">
        <f>Othert6</f>
        <v>#REF!</v>
      </c>
    </row>
    <row r="84" spans="1:2" x14ac:dyDescent="0.25">
      <c r="A84" t="s">
        <v>524</v>
      </c>
      <c r="B84" s="9" t="e">
        <f>t6casecount</f>
        <v>#REF!</v>
      </c>
    </row>
    <row r="85" spans="1:2" x14ac:dyDescent="0.25">
      <c r="A85" t="s">
        <v>525</v>
      </c>
      <c r="B85" s="12" t="e">
        <f>t6yobgpercap</f>
        <v>#REF!</v>
      </c>
    </row>
    <row r="86" spans="1:2" x14ac:dyDescent="0.25">
      <c r="A86" t="s">
        <v>526</v>
      </c>
      <c r="B86" s="12" t="e">
        <f>t6totpercap</f>
        <v>#REF!</v>
      </c>
    </row>
    <row r="87" spans="1:2" x14ac:dyDescent="0.25">
      <c r="A87" t="s">
        <v>770</v>
      </c>
      <c r="B87" t="e">
        <f>t6nar</f>
        <v>#REF!</v>
      </c>
    </row>
    <row r="88" spans="1:2" x14ac:dyDescent="0.25">
      <c r="A88" t="s">
        <v>771</v>
      </c>
      <c r="B88" t="e">
        <f>t6goal</f>
        <v>#REF!</v>
      </c>
    </row>
    <row r="89" spans="1:2" x14ac:dyDescent="0.25">
      <c r="A89" t="s">
        <v>772</v>
      </c>
      <c r="B89" t="e">
        <f>t6barrier</f>
        <v>#REF!</v>
      </c>
    </row>
    <row r="90" spans="1:2" x14ac:dyDescent="0.25">
      <c r="A90" t="s">
        <v>773</v>
      </c>
      <c r="B90" t="e">
        <f>t6funds</f>
        <v>#REF!</v>
      </c>
    </row>
    <row r="91" spans="1:2" x14ac:dyDescent="0.25">
      <c r="A91" t="s">
        <v>774</v>
      </c>
      <c r="B91" t="e">
        <f>t6other1</f>
        <v>#REF!</v>
      </c>
    </row>
    <row r="92" spans="1:2" x14ac:dyDescent="0.25">
      <c r="A92" t="s">
        <v>775</v>
      </c>
      <c r="B92" t="e">
        <f>t6other2</f>
        <v>#REF!</v>
      </c>
    </row>
    <row r="93" spans="1:2" x14ac:dyDescent="0.25">
      <c r="A93" t="s">
        <v>776</v>
      </c>
      <c r="B93" t="e">
        <f>t6other3</f>
        <v>#REF!</v>
      </c>
    </row>
    <row r="94" spans="1:2" x14ac:dyDescent="0.25">
      <c r="A94" t="s">
        <v>533</v>
      </c>
      <c r="B94" s="13" t="e">
        <f>Numecodet7</f>
        <v>#REF!</v>
      </c>
    </row>
    <row r="95" spans="1:2" x14ac:dyDescent="0.25">
      <c r="A95" t="s">
        <v>534</v>
      </c>
      <c r="B95" s="10" t="e">
        <f>Numealtt7</f>
        <v>#REF!</v>
      </c>
    </row>
    <row r="96" spans="1:2" x14ac:dyDescent="0.25">
      <c r="A96" t="s">
        <v>777</v>
      </c>
      <c r="B96" s="10" t="e">
        <f>JJCPAt7</f>
        <v>#REF!</v>
      </c>
    </row>
    <row r="97" spans="1:2" x14ac:dyDescent="0.25">
      <c r="A97" t="s">
        <v>778</v>
      </c>
      <c r="B97" s="10" t="e">
        <f>Othert7</f>
        <v>#REF!</v>
      </c>
    </row>
    <row r="98" spans="1:2" x14ac:dyDescent="0.25">
      <c r="A98" t="s">
        <v>565</v>
      </c>
      <c r="B98" s="9" t="e">
        <f>t7casecount</f>
        <v>#REF!</v>
      </c>
    </row>
    <row r="99" spans="1:2" x14ac:dyDescent="0.25">
      <c r="A99" t="s">
        <v>566</v>
      </c>
      <c r="B99" s="12" t="e">
        <f>t7yobgpercap</f>
        <v>#REF!</v>
      </c>
    </row>
    <row r="100" spans="1:2" x14ac:dyDescent="0.25">
      <c r="A100" t="s">
        <v>567</v>
      </c>
      <c r="B100" s="12" t="e">
        <f>t7totpercap</f>
        <v>#REF!</v>
      </c>
    </row>
    <row r="101" spans="1:2" x14ac:dyDescent="0.25">
      <c r="A101" t="s">
        <v>779</v>
      </c>
      <c r="B101" t="e">
        <f>t7nar</f>
        <v>#REF!</v>
      </c>
    </row>
    <row r="102" spans="1:2" x14ac:dyDescent="0.25">
      <c r="A102" t="s">
        <v>780</v>
      </c>
      <c r="B102" t="e">
        <f>t7goal</f>
        <v>#REF!</v>
      </c>
    </row>
    <row r="103" spans="1:2" x14ac:dyDescent="0.25">
      <c r="A103" t="s">
        <v>781</v>
      </c>
      <c r="B103" t="e">
        <f>t7barrier</f>
        <v>#REF!</v>
      </c>
    </row>
    <row r="104" spans="1:2" x14ac:dyDescent="0.25">
      <c r="A104" t="s">
        <v>782</v>
      </c>
      <c r="B104" t="e">
        <f>t7funds</f>
        <v>#REF!</v>
      </c>
    </row>
    <row r="105" spans="1:2" x14ac:dyDescent="0.25">
      <c r="A105" t="s">
        <v>783</v>
      </c>
      <c r="B105" t="e">
        <f>t7other1</f>
        <v>#REF!</v>
      </c>
    </row>
    <row r="106" spans="1:2" x14ac:dyDescent="0.25">
      <c r="A106" t="s">
        <v>784</v>
      </c>
      <c r="B106" t="e">
        <f>t7other2</f>
        <v>#REF!</v>
      </c>
    </row>
    <row r="107" spans="1:2" x14ac:dyDescent="0.25">
      <c r="A107" t="s">
        <v>785</v>
      </c>
      <c r="B107" t="e">
        <f>t7other3</f>
        <v>#REF!</v>
      </c>
    </row>
    <row r="108" spans="1:2" x14ac:dyDescent="0.25">
      <c r="A108" t="s">
        <v>574</v>
      </c>
      <c r="B108" s="13" t="e">
        <f>Numecodet8</f>
        <v>#REF!</v>
      </c>
    </row>
    <row r="109" spans="1:2" x14ac:dyDescent="0.25">
      <c r="A109" t="s">
        <v>575</v>
      </c>
      <c r="B109" s="10" t="e">
        <f>Numealtt8</f>
        <v>#REF!</v>
      </c>
    </row>
    <row r="110" spans="1:2" x14ac:dyDescent="0.25">
      <c r="A110" t="s">
        <v>786</v>
      </c>
      <c r="B110" s="10" t="e">
        <f>JJCPAt8</f>
        <v>#REF!</v>
      </c>
    </row>
    <row r="111" spans="1:2" x14ac:dyDescent="0.25">
      <c r="A111" t="s">
        <v>787</v>
      </c>
      <c r="B111" s="10" t="e">
        <f>Othert8</f>
        <v>#REF!</v>
      </c>
    </row>
    <row r="112" spans="1:2" x14ac:dyDescent="0.25">
      <c r="A112" t="s">
        <v>606</v>
      </c>
      <c r="B112" s="9" t="e">
        <f>t8casecount</f>
        <v>#REF!</v>
      </c>
    </row>
    <row r="113" spans="1:2" x14ac:dyDescent="0.25">
      <c r="A113" t="s">
        <v>607</v>
      </c>
      <c r="B113" s="12" t="e">
        <f>t8yobgpercap</f>
        <v>#REF!</v>
      </c>
    </row>
    <row r="114" spans="1:2" x14ac:dyDescent="0.25">
      <c r="A114" t="s">
        <v>608</v>
      </c>
      <c r="B114" s="12" t="e">
        <f>t8totpercap</f>
        <v>#REF!</v>
      </c>
    </row>
    <row r="115" spans="1:2" x14ac:dyDescent="0.25">
      <c r="A115" t="s">
        <v>788</v>
      </c>
      <c r="B115" t="e">
        <f>t8nar</f>
        <v>#REF!</v>
      </c>
    </row>
    <row r="116" spans="1:2" x14ac:dyDescent="0.25">
      <c r="A116" t="s">
        <v>789</v>
      </c>
      <c r="B116" t="e">
        <f>t8goal</f>
        <v>#REF!</v>
      </c>
    </row>
    <row r="117" spans="1:2" x14ac:dyDescent="0.25">
      <c r="A117" t="s">
        <v>790</v>
      </c>
      <c r="B117" t="e">
        <f>t8barrier</f>
        <v>#REF!</v>
      </c>
    </row>
    <row r="118" spans="1:2" x14ac:dyDescent="0.25">
      <c r="A118" t="s">
        <v>791</v>
      </c>
      <c r="B118" t="e">
        <f>t8funds</f>
        <v>#REF!</v>
      </c>
    </row>
    <row r="119" spans="1:2" x14ac:dyDescent="0.25">
      <c r="A119" t="s">
        <v>792</v>
      </c>
      <c r="B119" t="e">
        <f>t8other1</f>
        <v>#REF!</v>
      </c>
    </row>
    <row r="120" spans="1:2" x14ac:dyDescent="0.25">
      <c r="A120" t="s">
        <v>793</v>
      </c>
      <c r="B120" t="e">
        <f>t8other2</f>
        <v>#REF!</v>
      </c>
    </row>
    <row r="121" spans="1:2" x14ac:dyDescent="0.25">
      <c r="A121" t="s">
        <v>794</v>
      </c>
      <c r="B121" t="e">
        <f>t8other3</f>
        <v>#REF!</v>
      </c>
    </row>
    <row r="122" spans="1:2" x14ac:dyDescent="0.25">
      <c r="A122" t="s">
        <v>615</v>
      </c>
      <c r="B122" s="13" t="e">
        <f>Numecodet9</f>
        <v>#REF!</v>
      </c>
    </row>
    <row r="123" spans="1:2" x14ac:dyDescent="0.25">
      <c r="A123" t="s">
        <v>616</v>
      </c>
      <c r="B123" s="10" t="e">
        <f>Numealtt9</f>
        <v>#REF!</v>
      </c>
    </row>
    <row r="124" spans="1:2" x14ac:dyDescent="0.25">
      <c r="A124" t="s">
        <v>795</v>
      </c>
      <c r="B124" s="10" t="e">
        <f>JJCPAt9</f>
        <v>#REF!</v>
      </c>
    </row>
    <row r="125" spans="1:2" x14ac:dyDescent="0.25">
      <c r="A125" t="s">
        <v>796</v>
      </c>
      <c r="B125" s="10" t="e">
        <f>Othert9</f>
        <v>#REF!</v>
      </c>
    </row>
    <row r="126" spans="1:2" x14ac:dyDescent="0.25">
      <c r="A126" t="s">
        <v>647</v>
      </c>
      <c r="B126" s="9" t="e">
        <f>t9casecount</f>
        <v>#REF!</v>
      </c>
    </row>
    <row r="127" spans="1:2" x14ac:dyDescent="0.25">
      <c r="A127" t="s">
        <v>648</v>
      </c>
      <c r="B127" s="12" t="e">
        <f>t9yobgpercap</f>
        <v>#REF!</v>
      </c>
    </row>
    <row r="128" spans="1:2" x14ac:dyDescent="0.25">
      <c r="A128" t="s">
        <v>649</v>
      </c>
      <c r="B128" s="12" t="e">
        <f>t9totpercap</f>
        <v>#REF!</v>
      </c>
    </row>
    <row r="129" spans="1:2" x14ac:dyDescent="0.25">
      <c r="A129" t="s">
        <v>797</v>
      </c>
      <c r="B129" t="e">
        <f>t9nar</f>
        <v>#REF!</v>
      </c>
    </row>
    <row r="130" spans="1:2" x14ac:dyDescent="0.25">
      <c r="A130" t="s">
        <v>798</v>
      </c>
      <c r="B130" t="e">
        <f>t9goal</f>
        <v>#REF!</v>
      </c>
    </row>
    <row r="131" spans="1:2" x14ac:dyDescent="0.25">
      <c r="A131" t="s">
        <v>799</v>
      </c>
      <c r="B131" t="e">
        <f>t9barrier</f>
        <v>#REF!</v>
      </c>
    </row>
    <row r="132" spans="1:2" x14ac:dyDescent="0.25">
      <c r="A132" t="s">
        <v>800</v>
      </c>
      <c r="B132" t="e">
        <f>t9funds</f>
        <v>#REF!</v>
      </c>
    </row>
    <row r="133" spans="1:2" x14ac:dyDescent="0.25">
      <c r="A133" t="s">
        <v>801</v>
      </c>
      <c r="B133" t="e">
        <f>t9other1</f>
        <v>#REF!</v>
      </c>
    </row>
    <row r="134" spans="1:2" x14ac:dyDescent="0.25">
      <c r="A134" t="s">
        <v>802</v>
      </c>
      <c r="B134" t="e">
        <f>t9other2</f>
        <v>#REF!</v>
      </c>
    </row>
    <row r="135" spans="1:2" x14ac:dyDescent="0.25">
      <c r="A135" t="s">
        <v>803</v>
      </c>
      <c r="B135" t="e">
        <f>t9other3</f>
        <v>#REF!</v>
      </c>
    </row>
    <row r="136" spans="1:2" x14ac:dyDescent="0.25">
      <c r="A136" t="s">
        <v>656</v>
      </c>
      <c r="B136" s="13" t="e">
        <f>Numecodet10</f>
        <v>#REF!</v>
      </c>
    </row>
    <row r="137" spans="1:2" x14ac:dyDescent="0.25">
      <c r="A137" t="s">
        <v>657</v>
      </c>
      <c r="B137" s="10" t="e">
        <f>Numealtt10</f>
        <v>#REF!</v>
      </c>
    </row>
    <row r="138" spans="1:2" x14ac:dyDescent="0.25">
      <c r="A138" t="s">
        <v>804</v>
      </c>
      <c r="B138" s="10" t="e">
        <f>JJCPAt10</f>
        <v>#REF!</v>
      </c>
    </row>
    <row r="139" spans="1:2" x14ac:dyDescent="0.25">
      <c r="A139" t="s">
        <v>805</v>
      </c>
      <c r="B139" s="10" t="e">
        <f>Othert10</f>
        <v>#REF!</v>
      </c>
    </row>
    <row r="140" spans="1:2" x14ac:dyDescent="0.25">
      <c r="A140" t="s">
        <v>688</v>
      </c>
      <c r="B140" s="9" t="e">
        <f>t10casecount</f>
        <v>#REF!</v>
      </c>
    </row>
    <row r="141" spans="1:2" x14ac:dyDescent="0.25">
      <c r="A141" t="s">
        <v>689</v>
      </c>
      <c r="B141" s="12" t="e">
        <f>t10yobgpercap</f>
        <v>#REF!</v>
      </c>
    </row>
    <row r="142" spans="1:2" x14ac:dyDescent="0.25">
      <c r="A142" t="s">
        <v>690</v>
      </c>
      <c r="B142" s="12" t="e">
        <f>t10totpercap</f>
        <v>#REF!</v>
      </c>
    </row>
    <row r="143" spans="1:2" x14ac:dyDescent="0.25">
      <c r="A143" t="s">
        <v>806</v>
      </c>
      <c r="B143" t="e">
        <f>t10nar</f>
        <v>#REF!</v>
      </c>
    </row>
    <row r="144" spans="1:2" x14ac:dyDescent="0.25">
      <c r="A144" t="s">
        <v>807</v>
      </c>
      <c r="B144" t="e">
        <f>t10goal</f>
        <v>#REF!</v>
      </c>
    </row>
    <row r="145" spans="1:2" x14ac:dyDescent="0.25">
      <c r="A145" t="s">
        <v>808</v>
      </c>
      <c r="B145" t="e">
        <f>t10barrier</f>
        <v>#REF!</v>
      </c>
    </row>
    <row r="146" spans="1:2" x14ac:dyDescent="0.25">
      <c r="A146" t="s">
        <v>809</v>
      </c>
      <c r="B146" t="e">
        <f>t10funds</f>
        <v>#REF!</v>
      </c>
    </row>
    <row r="147" spans="1:2" x14ac:dyDescent="0.25">
      <c r="A147" t="s">
        <v>810</v>
      </c>
      <c r="B147" t="e">
        <f>t10other1</f>
        <v>#REF!</v>
      </c>
    </row>
    <row r="148" spans="1:2" x14ac:dyDescent="0.25">
      <c r="A148" t="s">
        <v>811</v>
      </c>
      <c r="B148" t="e">
        <f>t10other2</f>
        <v>#REF!</v>
      </c>
    </row>
    <row r="149" spans="1:2" x14ac:dyDescent="0.25">
      <c r="A149" t="s">
        <v>812</v>
      </c>
      <c r="B149" t="e">
        <f>t10other3</f>
        <v>#REF!</v>
      </c>
    </row>
    <row r="150" spans="1:2" x14ac:dyDescent="0.25">
      <c r="A150" s="106" t="s">
        <v>813</v>
      </c>
      <c r="B150" s="34" t="e">
        <f>totyobgexp</f>
        <v>#REF!</v>
      </c>
    </row>
    <row r="151" spans="1:2" x14ac:dyDescent="0.25">
      <c r="A151" s="106" t="s">
        <v>814</v>
      </c>
      <c r="B151" s="34" t="e">
        <f>fy1314all</f>
        <v>#REF!</v>
      </c>
    </row>
    <row r="152" spans="1:2" x14ac:dyDescent="0.25">
      <c r="A152" s="106" t="s">
        <v>815</v>
      </c>
      <c r="B152" s="34" t="e">
        <f>fy1213all</f>
        <v>#REF!</v>
      </c>
    </row>
    <row r="153" spans="1:2" x14ac:dyDescent="0.25">
      <c r="A153" t="s">
        <v>816</v>
      </c>
      <c r="B153" s="34" t="e">
        <f>fy1112all</f>
        <v>#REF!</v>
      </c>
    </row>
    <row r="154" spans="1:2" x14ac:dyDescent="0.25">
      <c r="A154" t="s">
        <v>817</v>
      </c>
      <c r="B154" s="34" t="e">
        <f>fy1011all</f>
        <v>#REF!</v>
      </c>
    </row>
    <row r="155" spans="1:2" x14ac:dyDescent="0.25">
      <c r="A155" t="s">
        <v>818</v>
      </c>
      <c r="B155" s="34" t="e">
        <f>fy0910all</f>
        <v>#REF!</v>
      </c>
    </row>
    <row r="156" spans="1:2" x14ac:dyDescent="0.25">
      <c r="A156" t="s">
        <v>819</v>
      </c>
      <c r="B156" s="34" t="e">
        <f>fy0809all</f>
        <v>#REF!</v>
      </c>
    </row>
    <row r="157" spans="1:2" x14ac:dyDescent="0.25">
      <c r="A157" t="s">
        <v>820</v>
      </c>
      <c r="B157" s="34" t="e">
        <f>fy0708all</f>
        <v>#REF!</v>
      </c>
    </row>
    <row r="158" spans="1:2" x14ac:dyDescent="0.25">
      <c r="A158" s="106" t="s">
        <v>821</v>
      </c>
      <c r="B158" s="34" t="e">
        <f>totforall</f>
        <v>#REF!</v>
      </c>
    </row>
    <row r="159" spans="1:2" x14ac:dyDescent="0.25">
      <c r="A159" t="s">
        <v>822</v>
      </c>
      <c r="B159" s="34" t="e">
        <f>discrep</f>
        <v>#REF!</v>
      </c>
    </row>
    <row r="160" spans="1:2" x14ac:dyDescent="0.25">
      <c r="A160" t="s">
        <v>823</v>
      </c>
      <c r="B160" t="e">
        <f>discexpl</f>
        <v>#REF!</v>
      </c>
    </row>
    <row r="161" spans="1:2" x14ac:dyDescent="0.25">
      <c r="A161" t="s">
        <v>824</v>
      </c>
      <c r="B161" t="e">
        <f>Numecodet1</f>
        <v>#REF!</v>
      </c>
    </row>
    <row r="162" spans="1:2" x14ac:dyDescent="0.25">
      <c r="A162" t="s">
        <v>825</v>
      </c>
      <c r="B162" t="e">
        <f>JJCPAt1</f>
        <v>#REF!</v>
      </c>
    </row>
    <row r="163" spans="1:2" x14ac:dyDescent="0.25">
      <c r="A163" t="s">
        <v>826</v>
      </c>
      <c r="B163" s="11">
        <f>t1jjcpatot</f>
        <v>0</v>
      </c>
    </row>
    <row r="164" spans="1:2" x14ac:dyDescent="0.25">
      <c r="A164" t="s">
        <v>827</v>
      </c>
      <c r="B164" t="e">
        <f>Othert1</f>
        <v>#REF!</v>
      </c>
    </row>
    <row r="165" spans="1:2" x14ac:dyDescent="0.25">
      <c r="A165" t="s">
        <v>828</v>
      </c>
      <c r="B165" s="11">
        <f>t1othertot</f>
        <v>0</v>
      </c>
    </row>
    <row r="166" spans="1:2" x14ac:dyDescent="0.25">
      <c r="A166" t="s">
        <v>829</v>
      </c>
      <c r="B166" t="e">
        <f>Numecodet2</f>
        <v>#REF!</v>
      </c>
    </row>
    <row r="167" spans="1:2" x14ac:dyDescent="0.25">
      <c r="A167" t="s">
        <v>830</v>
      </c>
      <c r="B167" t="e">
        <f>JJCPAt2</f>
        <v>#REF!</v>
      </c>
    </row>
    <row r="168" spans="1:2" x14ac:dyDescent="0.25">
      <c r="A168" t="s">
        <v>831</v>
      </c>
      <c r="B168" s="11" t="e">
        <f>t2jjcpatot</f>
        <v>#REF!</v>
      </c>
    </row>
    <row r="169" spans="1:2" x14ac:dyDescent="0.25">
      <c r="A169" t="s">
        <v>832</v>
      </c>
      <c r="B169" t="e">
        <f>Othert2</f>
        <v>#REF!</v>
      </c>
    </row>
    <row r="170" spans="1:2" x14ac:dyDescent="0.25">
      <c r="A170" t="s">
        <v>833</v>
      </c>
      <c r="B170" s="11" t="e">
        <f>t2othertot</f>
        <v>#REF!</v>
      </c>
    </row>
    <row r="171" spans="1:2" x14ac:dyDescent="0.25">
      <c r="A171" t="s">
        <v>834</v>
      </c>
      <c r="B171" t="e">
        <f>Numecodet3</f>
        <v>#REF!</v>
      </c>
    </row>
    <row r="172" spans="1:2" x14ac:dyDescent="0.25">
      <c r="A172" t="s">
        <v>835</v>
      </c>
      <c r="B172" t="e">
        <f>JJCPAt3</f>
        <v>#REF!</v>
      </c>
    </row>
    <row r="173" spans="1:2" x14ac:dyDescent="0.25">
      <c r="A173" t="s">
        <v>836</v>
      </c>
      <c r="B173" s="11" t="e">
        <f>t3jjcpatot</f>
        <v>#REF!</v>
      </c>
    </row>
    <row r="174" spans="1:2" x14ac:dyDescent="0.25">
      <c r="A174" t="s">
        <v>837</v>
      </c>
      <c r="B174" t="e">
        <f>Othert3</f>
        <v>#REF!</v>
      </c>
    </row>
    <row r="175" spans="1:2" x14ac:dyDescent="0.25">
      <c r="A175" t="s">
        <v>838</v>
      </c>
      <c r="B175" s="11" t="e">
        <f>t3othertot</f>
        <v>#REF!</v>
      </c>
    </row>
    <row r="176" spans="1:2" x14ac:dyDescent="0.25">
      <c r="A176" t="s">
        <v>839</v>
      </c>
      <c r="B176" t="e">
        <f>Numecodet4</f>
        <v>#REF!</v>
      </c>
    </row>
    <row r="177" spans="1:2" x14ac:dyDescent="0.25">
      <c r="A177" t="s">
        <v>840</v>
      </c>
      <c r="B177" t="e">
        <f>JJCPAt4</f>
        <v>#REF!</v>
      </c>
    </row>
    <row r="178" spans="1:2" x14ac:dyDescent="0.25">
      <c r="A178" t="s">
        <v>841</v>
      </c>
      <c r="B178" s="11" t="e">
        <f>t4jjcpatot</f>
        <v>#REF!</v>
      </c>
    </row>
    <row r="179" spans="1:2" x14ac:dyDescent="0.25">
      <c r="A179" t="s">
        <v>842</v>
      </c>
      <c r="B179" t="e">
        <f>Othert4</f>
        <v>#REF!</v>
      </c>
    </row>
    <row r="180" spans="1:2" x14ac:dyDescent="0.25">
      <c r="A180" t="s">
        <v>843</v>
      </c>
      <c r="B180" s="11" t="e">
        <f>t4othertot</f>
        <v>#REF!</v>
      </c>
    </row>
    <row r="181" spans="1:2" x14ac:dyDescent="0.25">
      <c r="A181" t="s">
        <v>844</v>
      </c>
      <c r="B181" t="e">
        <f>Numecodet5</f>
        <v>#REF!</v>
      </c>
    </row>
    <row r="182" spans="1:2" x14ac:dyDescent="0.25">
      <c r="A182" t="s">
        <v>845</v>
      </c>
      <c r="B182" t="e">
        <f>JJCPAt5</f>
        <v>#REF!</v>
      </c>
    </row>
    <row r="183" spans="1:2" x14ac:dyDescent="0.25">
      <c r="A183" t="s">
        <v>846</v>
      </c>
      <c r="B183" s="11" t="e">
        <f>t5jjcpatot</f>
        <v>#REF!</v>
      </c>
    </row>
    <row r="184" spans="1:2" x14ac:dyDescent="0.25">
      <c r="A184" t="s">
        <v>847</v>
      </c>
      <c r="B184" t="e">
        <f>Othert5</f>
        <v>#REF!</v>
      </c>
    </row>
    <row r="185" spans="1:2" x14ac:dyDescent="0.25">
      <c r="A185" t="s">
        <v>848</v>
      </c>
      <c r="B185" s="11" t="e">
        <f>t5othertot</f>
        <v>#REF!</v>
      </c>
    </row>
    <row r="186" spans="1:2" x14ac:dyDescent="0.25">
      <c r="A186" t="s">
        <v>849</v>
      </c>
      <c r="B186" t="e">
        <f>Numecodet6</f>
        <v>#REF!</v>
      </c>
    </row>
    <row r="187" spans="1:2" x14ac:dyDescent="0.25">
      <c r="A187" t="s">
        <v>850</v>
      </c>
      <c r="B187" t="e">
        <f>JJCPAt6</f>
        <v>#REF!</v>
      </c>
    </row>
    <row r="188" spans="1:2" x14ac:dyDescent="0.25">
      <c r="A188" t="s">
        <v>851</v>
      </c>
      <c r="B188" s="11" t="e">
        <f>t6jjcpatot</f>
        <v>#REF!</v>
      </c>
    </row>
    <row r="189" spans="1:2" x14ac:dyDescent="0.25">
      <c r="A189" t="s">
        <v>852</v>
      </c>
      <c r="B189" t="e">
        <f>Othert6</f>
        <v>#REF!</v>
      </c>
    </row>
    <row r="190" spans="1:2" x14ac:dyDescent="0.25">
      <c r="A190" t="s">
        <v>853</v>
      </c>
      <c r="B190" s="11" t="e">
        <f>t6othertot</f>
        <v>#REF!</v>
      </c>
    </row>
    <row r="191" spans="1:2" x14ac:dyDescent="0.25">
      <c r="A191" t="s">
        <v>854</v>
      </c>
      <c r="B191" t="e">
        <f>Numecodet7</f>
        <v>#REF!</v>
      </c>
    </row>
    <row r="192" spans="1:2" x14ac:dyDescent="0.25">
      <c r="A192" t="s">
        <v>855</v>
      </c>
      <c r="B192" t="e">
        <f>JJCPAt7</f>
        <v>#REF!</v>
      </c>
    </row>
    <row r="193" spans="1:2" x14ac:dyDescent="0.25">
      <c r="A193" t="s">
        <v>856</v>
      </c>
      <c r="B193" s="11" t="e">
        <f>t7jjcpatot</f>
        <v>#REF!</v>
      </c>
    </row>
    <row r="194" spans="1:2" x14ac:dyDescent="0.25">
      <c r="A194" t="s">
        <v>857</v>
      </c>
      <c r="B194" t="e">
        <f>Othert7</f>
        <v>#REF!</v>
      </c>
    </row>
    <row r="195" spans="1:2" x14ac:dyDescent="0.25">
      <c r="A195" t="s">
        <v>858</v>
      </c>
      <c r="B195" s="11" t="e">
        <f>t7othertot</f>
        <v>#REF!</v>
      </c>
    </row>
    <row r="196" spans="1:2" x14ac:dyDescent="0.25">
      <c r="A196" t="s">
        <v>859</v>
      </c>
      <c r="B196" t="e">
        <f>Numecodet8</f>
        <v>#REF!</v>
      </c>
    </row>
    <row r="197" spans="1:2" x14ac:dyDescent="0.25">
      <c r="A197" t="s">
        <v>860</v>
      </c>
      <c r="B197" t="e">
        <f>JJCPAt8</f>
        <v>#REF!</v>
      </c>
    </row>
    <row r="198" spans="1:2" x14ac:dyDescent="0.25">
      <c r="A198" t="s">
        <v>861</v>
      </c>
      <c r="B198" s="11" t="e">
        <f>t8jjcpatot</f>
        <v>#REF!</v>
      </c>
    </row>
    <row r="199" spans="1:2" x14ac:dyDescent="0.25">
      <c r="A199" t="s">
        <v>862</v>
      </c>
      <c r="B199" t="e">
        <f>Othert8</f>
        <v>#REF!</v>
      </c>
    </row>
    <row r="200" spans="1:2" x14ac:dyDescent="0.25">
      <c r="A200" t="s">
        <v>863</v>
      </c>
      <c r="B200" s="11" t="e">
        <f>t8othertot</f>
        <v>#REF!</v>
      </c>
    </row>
    <row r="201" spans="1:2" x14ac:dyDescent="0.25">
      <c r="A201" t="s">
        <v>864</v>
      </c>
      <c r="B201" t="e">
        <f>Numecodet9</f>
        <v>#REF!</v>
      </c>
    </row>
    <row r="202" spans="1:2" x14ac:dyDescent="0.25">
      <c r="A202" t="s">
        <v>865</v>
      </c>
      <c r="B202" t="e">
        <f>JJCPAt9</f>
        <v>#REF!</v>
      </c>
    </row>
    <row r="203" spans="1:2" x14ac:dyDescent="0.25">
      <c r="A203" t="s">
        <v>866</v>
      </c>
      <c r="B203" s="11" t="e">
        <f>t9jjcpatot</f>
        <v>#REF!</v>
      </c>
    </row>
    <row r="204" spans="1:2" x14ac:dyDescent="0.25">
      <c r="A204" t="s">
        <v>867</v>
      </c>
      <c r="B204" t="e">
        <f>Othert9</f>
        <v>#REF!</v>
      </c>
    </row>
    <row r="205" spans="1:2" x14ac:dyDescent="0.25">
      <c r="A205" t="s">
        <v>868</v>
      </c>
      <c r="B205" s="11" t="e">
        <f>t9othertot</f>
        <v>#REF!</v>
      </c>
    </row>
    <row r="206" spans="1:2" x14ac:dyDescent="0.25">
      <c r="A206" t="s">
        <v>869</v>
      </c>
      <c r="B206" t="e">
        <f>Numcodet10</f>
        <v>#REF!</v>
      </c>
    </row>
    <row r="207" spans="1:2" x14ac:dyDescent="0.25">
      <c r="A207" t="s">
        <v>870</v>
      </c>
      <c r="B207" t="e">
        <f>JJCPAt10</f>
        <v>#REF!</v>
      </c>
    </row>
    <row r="208" spans="1:2" x14ac:dyDescent="0.25">
      <c r="A208" t="s">
        <v>871</v>
      </c>
      <c r="B208" s="11" t="e">
        <f>t10jjcpatot</f>
        <v>#REF!</v>
      </c>
    </row>
    <row r="209" spans="1:2" x14ac:dyDescent="0.25">
      <c r="A209" t="s">
        <v>872</v>
      </c>
      <c r="B209" t="e">
        <f>Othert10</f>
        <v>#REF!</v>
      </c>
    </row>
    <row r="210" spans="1:2" x14ac:dyDescent="0.25">
      <c r="A210" t="s">
        <v>873</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83</v>
      </c>
      <c r="C1">
        <v>1</v>
      </c>
      <c r="D1" t="s">
        <v>874</v>
      </c>
    </row>
    <row r="2" spans="1:4" x14ac:dyDescent="0.25">
      <c r="A2">
        <v>2</v>
      </c>
      <c r="B2" s="2" t="s">
        <v>85</v>
      </c>
      <c r="C2">
        <v>2</v>
      </c>
      <c r="D2" t="s">
        <v>875</v>
      </c>
    </row>
    <row r="3" spans="1:4" x14ac:dyDescent="0.25">
      <c r="A3">
        <v>3</v>
      </c>
      <c r="B3" s="2" t="s">
        <v>87</v>
      </c>
      <c r="D3" t="s">
        <v>876</v>
      </c>
    </row>
    <row r="4" spans="1:4" x14ac:dyDescent="0.25">
      <c r="A4">
        <v>4</v>
      </c>
      <c r="B4" s="2" t="s">
        <v>89</v>
      </c>
      <c r="D4" t="s">
        <v>877</v>
      </c>
    </row>
    <row r="5" spans="1:4" x14ac:dyDescent="0.25">
      <c r="A5">
        <v>5</v>
      </c>
      <c r="B5" s="2" t="s">
        <v>84</v>
      </c>
      <c r="D5" t="s">
        <v>878</v>
      </c>
    </row>
    <row r="6" spans="1:4" x14ac:dyDescent="0.25">
      <c r="A6">
        <v>6</v>
      </c>
      <c r="B6" s="2" t="s">
        <v>86</v>
      </c>
      <c r="D6" t="s">
        <v>879</v>
      </c>
    </row>
    <row r="7" spans="1:4" x14ac:dyDescent="0.25">
      <c r="A7">
        <v>7</v>
      </c>
      <c r="B7" s="2" t="s">
        <v>88</v>
      </c>
      <c r="D7" t="s">
        <v>880</v>
      </c>
    </row>
    <row r="8" spans="1:4" x14ac:dyDescent="0.25">
      <c r="A8">
        <v>8</v>
      </c>
      <c r="B8" s="2" t="s">
        <v>91</v>
      </c>
      <c r="D8" t="s">
        <v>881</v>
      </c>
    </row>
    <row r="9" spans="1:4" x14ac:dyDescent="0.25">
      <c r="A9">
        <v>9</v>
      </c>
      <c r="B9" s="2" t="s">
        <v>94</v>
      </c>
      <c r="D9" t="s">
        <v>882</v>
      </c>
    </row>
    <row r="10" spans="1:4" x14ac:dyDescent="0.25">
      <c r="A10">
        <v>10</v>
      </c>
      <c r="B10" s="2" t="s">
        <v>96</v>
      </c>
      <c r="D10" t="s">
        <v>883</v>
      </c>
    </row>
    <row r="11" spans="1:4" x14ac:dyDescent="0.25">
      <c r="A11">
        <v>11</v>
      </c>
      <c r="B11" s="2" t="s">
        <v>98</v>
      </c>
      <c r="D11" t="s">
        <v>884</v>
      </c>
    </row>
    <row r="12" spans="1:4" x14ac:dyDescent="0.25">
      <c r="A12">
        <v>12</v>
      </c>
      <c r="B12" s="2" t="s">
        <v>100</v>
      </c>
      <c r="D12" t="s">
        <v>885</v>
      </c>
    </row>
    <row r="13" spans="1:4" x14ac:dyDescent="0.25">
      <c r="A13">
        <v>13</v>
      </c>
      <c r="B13" s="2" t="s">
        <v>102</v>
      </c>
      <c r="D13" t="s">
        <v>886</v>
      </c>
    </row>
    <row r="14" spans="1:4" x14ac:dyDescent="0.25">
      <c r="A14">
        <v>14</v>
      </c>
      <c r="B14" s="2" t="s">
        <v>104</v>
      </c>
      <c r="D14" t="s">
        <v>887</v>
      </c>
    </row>
    <row r="15" spans="1:4" x14ac:dyDescent="0.25">
      <c r="A15">
        <v>15</v>
      </c>
      <c r="B15" s="2" t="s">
        <v>106</v>
      </c>
      <c r="D15" t="s">
        <v>888</v>
      </c>
    </row>
    <row r="16" spans="1:4" x14ac:dyDescent="0.25">
      <c r="A16">
        <v>16</v>
      </c>
      <c r="B16" s="2" t="s">
        <v>108</v>
      </c>
      <c r="D16" t="s">
        <v>889</v>
      </c>
    </row>
    <row r="17" spans="1:7" x14ac:dyDescent="0.25">
      <c r="A17">
        <v>17</v>
      </c>
      <c r="B17" s="2" t="s">
        <v>110</v>
      </c>
      <c r="D17" t="s">
        <v>890</v>
      </c>
    </row>
    <row r="18" spans="1:7" x14ac:dyDescent="0.25">
      <c r="A18">
        <v>18</v>
      </c>
      <c r="B18" s="2" t="s">
        <v>112</v>
      </c>
      <c r="D18" t="s">
        <v>891</v>
      </c>
    </row>
    <row r="19" spans="1:7" x14ac:dyDescent="0.25">
      <c r="A19">
        <v>19</v>
      </c>
      <c r="B19" s="2" t="s">
        <v>114</v>
      </c>
      <c r="D19" t="s">
        <v>892</v>
      </c>
    </row>
    <row r="20" spans="1:7" x14ac:dyDescent="0.25">
      <c r="A20">
        <v>20</v>
      </c>
      <c r="B20" s="2" t="s">
        <v>116</v>
      </c>
      <c r="D20" t="s">
        <v>893</v>
      </c>
    </row>
    <row r="21" spans="1:7" x14ac:dyDescent="0.25">
      <c r="A21">
        <v>21</v>
      </c>
      <c r="B21" s="2" t="s">
        <v>118</v>
      </c>
      <c r="D21" t="s">
        <v>894</v>
      </c>
    </row>
    <row r="22" spans="1:7" x14ac:dyDescent="0.25">
      <c r="A22">
        <v>22</v>
      </c>
      <c r="B22" s="2" t="s">
        <v>120</v>
      </c>
      <c r="D22" t="s">
        <v>895</v>
      </c>
    </row>
    <row r="23" spans="1:7" x14ac:dyDescent="0.25">
      <c r="A23">
        <v>23</v>
      </c>
      <c r="B23" s="2" t="s">
        <v>122</v>
      </c>
      <c r="D23" t="s">
        <v>896</v>
      </c>
    </row>
    <row r="24" spans="1:7" x14ac:dyDescent="0.25">
      <c r="A24">
        <v>24</v>
      </c>
      <c r="B24" s="2" t="s">
        <v>124</v>
      </c>
      <c r="D24" t="s">
        <v>897</v>
      </c>
      <c r="F24" s="15" t="s">
        <v>898</v>
      </c>
      <c r="G24" s="2" t="s">
        <v>899</v>
      </c>
    </row>
    <row r="25" spans="1:7" x14ac:dyDescent="0.25">
      <c r="A25">
        <v>25</v>
      </c>
      <c r="B25" s="2" t="s">
        <v>126</v>
      </c>
      <c r="D25" t="s">
        <v>900</v>
      </c>
      <c r="F25" s="15" t="s">
        <v>901</v>
      </c>
      <c r="G25" s="21" t="s">
        <v>902</v>
      </c>
    </row>
    <row r="26" spans="1:7" x14ac:dyDescent="0.25">
      <c r="A26">
        <v>26</v>
      </c>
      <c r="B26" s="2" t="s">
        <v>224</v>
      </c>
      <c r="D26" t="s">
        <v>903</v>
      </c>
      <c r="G26" s="21" t="s">
        <v>904</v>
      </c>
    </row>
    <row r="27" spans="1:7" x14ac:dyDescent="0.25">
      <c r="A27">
        <v>27</v>
      </c>
      <c r="B27" s="2" t="s">
        <v>97</v>
      </c>
      <c r="D27" t="s">
        <v>905</v>
      </c>
      <c r="G27" s="21" t="s">
        <v>906</v>
      </c>
    </row>
    <row r="28" spans="1:7" x14ac:dyDescent="0.25">
      <c r="A28">
        <v>28</v>
      </c>
      <c r="B28" s="2" t="s">
        <v>99</v>
      </c>
      <c r="D28" t="s">
        <v>907</v>
      </c>
      <c r="G28" s="21" t="s">
        <v>908</v>
      </c>
    </row>
    <row r="29" spans="1:7" x14ac:dyDescent="0.25">
      <c r="A29">
        <v>29</v>
      </c>
      <c r="B29" s="2" t="s">
        <v>101</v>
      </c>
      <c r="D29" t="s">
        <v>909</v>
      </c>
      <c r="G29" s="21" t="s">
        <v>910</v>
      </c>
    </row>
    <row r="30" spans="1:7" x14ac:dyDescent="0.25">
      <c r="A30">
        <v>30</v>
      </c>
      <c r="B30" s="2" t="s">
        <v>103</v>
      </c>
      <c r="D30" t="s">
        <v>911</v>
      </c>
      <c r="G30" s="21" t="s">
        <v>912</v>
      </c>
    </row>
    <row r="31" spans="1:7" x14ac:dyDescent="0.25">
      <c r="A31">
        <v>31</v>
      </c>
      <c r="B31" s="2" t="s">
        <v>105</v>
      </c>
      <c r="D31" t="s">
        <v>913</v>
      </c>
      <c r="G31" s="21" t="s">
        <v>914</v>
      </c>
    </row>
    <row r="32" spans="1:7" x14ac:dyDescent="0.25">
      <c r="A32">
        <v>32</v>
      </c>
      <c r="B32" s="2" t="s">
        <v>107</v>
      </c>
      <c r="D32" t="s">
        <v>915</v>
      </c>
      <c r="G32" s="21" t="s">
        <v>916</v>
      </c>
    </row>
    <row r="33" spans="1:7" x14ac:dyDescent="0.25">
      <c r="A33">
        <v>33</v>
      </c>
      <c r="B33" s="2" t="s">
        <v>109</v>
      </c>
      <c r="D33" t="s">
        <v>917</v>
      </c>
      <c r="G33" s="21" t="s">
        <v>918</v>
      </c>
    </row>
    <row r="34" spans="1:7" x14ac:dyDescent="0.25">
      <c r="A34">
        <v>34</v>
      </c>
      <c r="B34" s="2" t="s">
        <v>111</v>
      </c>
      <c r="D34" t="s">
        <v>919</v>
      </c>
      <c r="G34" s="21" t="s">
        <v>920</v>
      </c>
    </row>
    <row r="35" spans="1:7" x14ac:dyDescent="0.25">
      <c r="A35">
        <v>35</v>
      </c>
      <c r="B35" s="2" t="s">
        <v>113</v>
      </c>
      <c r="D35" t="s">
        <v>921</v>
      </c>
      <c r="G35" s="21" t="s">
        <v>922</v>
      </c>
    </row>
    <row r="36" spans="1:7" x14ac:dyDescent="0.25">
      <c r="A36">
        <v>36</v>
      </c>
      <c r="B36" s="2" t="s">
        <v>115</v>
      </c>
      <c r="D36" t="s">
        <v>923</v>
      </c>
      <c r="G36" s="21" t="s">
        <v>924</v>
      </c>
    </row>
    <row r="37" spans="1:7" x14ac:dyDescent="0.25">
      <c r="A37">
        <v>37</v>
      </c>
      <c r="B37" s="2" t="s">
        <v>117</v>
      </c>
      <c r="D37" t="s">
        <v>925</v>
      </c>
      <c r="G37" s="21" t="s">
        <v>926</v>
      </c>
    </row>
    <row r="38" spans="1:7" x14ac:dyDescent="0.25">
      <c r="A38">
        <v>38</v>
      </c>
      <c r="B38" s="2" t="s">
        <v>119</v>
      </c>
      <c r="D38" t="s">
        <v>927</v>
      </c>
      <c r="G38" s="21" t="s">
        <v>928</v>
      </c>
    </row>
    <row r="39" spans="1:7" x14ac:dyDescent="0.25">
      <c r="A39">
        <v>39</v>
      </c>
      <c r="B39" s="2" t="s">
        <v>121</v>
      </c>
      <c r="D39" t="s">
        <v>929</v>
      </c>
      <c r="G39" s="21" t="s">
        <v>930</v>
      </c>
    </row>
    <row r="40" spans="1:7" x14ac:dyDescent="0.25">
      <c r="A40">
        <v>40</v>
      </c>
      <c r="B40" s="2" t="s">
        <v>123</v>
      </c>
      <c r="D40" t="s">
        <v>931</v>
      </c>
      <c r="G40" s="21" t="s">
        <v>932</v>
      </c>
    </row>
    <row r="41" spans="1:7" x14ac:dyDescent="0.25">
      <c r="A41">
        <v>41</v>
      </c>
      <c r="B41" s="2" t="s">
        <v>125</v>
      </c>
      <c r="D41" t="s">
        <v>933</v>
      </c>
      <c r="G41" s="21" t="s">
        <v>934</v>
      </c>
    </row>
    <row r="42" spans="1:7" x14ac:dyDescent="0.25">
      <c r="A42">
        <v>42</v>
      </c>
      <c r="B42" s="2" t="s">
        <v>127</v>
      </c>
      <c r="D42" t="s">
        <v>935</v>
      </c>
      <c r="G42" s="21" t="s">
        <v>59</v>
      </c>
    </row>
    <row r="43" spans="1:7" x14ac:dyDescent="0.25">
      <c r="A43">
        <v>43</v>
      </c>
      <c r="B43" s="2" t="s">
        <v>128</v>
      </c>
      <c r="D43" t="s">
        <v>936</v>
      </c>
    </row>
    <row r="44" spans="1:7" x14ac:dyDescent="0.25">
      <c r="A44">
        <v>44</v>
      </c>
      <c r="B44" s="2" t="s">
        <v>128</v>
      </c>
      <c r="D44" t="s">
        <v>937</v>
      </c>
    </row>
    <row r="45" spans="1:7" x14ac:dyDescent="0.25">
      <c r="A45">
        <v>45</v>
      </c>
      <c r="B45" s="2" t="s">
        <v>130</v>
      </c>
      <c r="D45" t="s">
        <v>938</v>
      </c>
    </row>
    <row r="46" spans="1:7" x14ac:dyDescent="0.25">
      <c r="A46">
        <v>46</v>
      </c>
      <c r="B46" s="2" t="s">
        <v>133</v>
      </c>
      <c r="D46" t="s">
        <v>939</v>
      </c>
    </row>
    <row r="47" spans="1:7" x14ac:dyDescent="0.25">
      <c r="A47">
        <v>47</v>
      </c>
      <c r="B47" s="2" t="s">
        <v>136</v>
      </c>
      <c r="D47" t="s">
        <v>940</v>
      </c>
    </row>
    <row r="48" spans="1:7" x14ac:dyDescent="0.25">
      <c r="A48">
        <v>48</v>
      </c>
      <c r="B48" s="2" t="s">
        <v>139</v>
      </c>
      <c r="D48" t="s">
        <v>941</v>
      </c>
    </row>
    <row r="49" spans="1:4" x14ac:dyDescent="0.25">
      <c r="A49">
        <v>49</v>
      </c>
      <c r="B49" s="2" t="s">
        <v>131</v>
      </c>
      <c r="D49" t="s">
        <v>942</v>
      </c>
    </row>
    <row r="50" spans="1:4" x14ac:dyDescent="0.25">
      <c r="A50">
        <v>50</v>
      </c>
      <c r="B50" s="2" t="s">
        <v>134</v>
      </c>
      <c r="D50" t="s">
        <v>943</v>
      </c>
    </row>
    <row r="51" spans="1:4" x14ac:dyDescent="0.25">
      <c r="A51">
        <v>51</v>
      </c>
      <c r="B51" s="2" t="s">
        <v>59</v>
      </c>
      <c r="D51" t="s">
        <v>944</v>
      </c>
    </row>
    <row r="52" spans="1:4" x14ac:dyDescent="0.25">
      <c r="A52">
        <v>52</v>
      </c>
      <c r="B52" s="2" t="s">
        <v>137</v>
      </c>
      <c r="D52" t="s">
        <v>945</v>
      </c>
    </row>
    <row r="53" spans="1:4" x14ac:dyDescent="0.25">
      <c r="D53" t="s">
        <v>946</v>
      </c>
    </row>
    <row r="54" spans="1:4" x14ac:dyDescent="0.25">
      <c r="D54" t="s">
        <v>947</v>
      </c>
    </row>
    <row r="55" spans="1:4" x14ac:dyDescent="0.25">
      <c r="D55" t="s">
        <v>948</v>
      </c>
    </row>
    <row r="56" spans="1:4" x14ac:dyDescent="0.25">
      <c r="D56" t="s">
        <v>8</v>
      </c>
    </row>
    <row r="57" spans="1:4" x14ac:dyDescent="0.25">
      <c r="D57" t="s">
        <v>949</v>
      </c>
    </row>
    <row r="58" spans="1:4" x14ac:dyDescent="0.25">
      <c r="D58" t="s">
        <v>950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267</v>
      </c>
      <c r="B1" t="s">
        <v>268</v>
      </c>
      <c r="C1" t="s">
        <v>269</v>
      </c>
      <c r="D1" t="s">
        <v>270</v>
      </c>
      <c r="E1" t="s">
        <v>271</v>
      </c>
      <c r="F1" t="s">
        <v>272</v>
      </c>
      <c r="G1" t="s">
        <v>273</v>
      </c>
      <c r="H1" t="s">
        <v>274</v>
      </c>
      <c r="I1" t="s">
        <v>275</v>
      </c>
      <c r="J1" t="s">
        <v>276</v>
      </c>
      <c r="K1" t="s">
        <v>277</v>
      </c>
      <c r="L1" t="s">
        <v>278</v>
      </c>
      <c r="M1" t="s">
        <v>279</v>
      </c>
      <c r="N1" t="s">
        <v>280</v>
      </c>
      <c r="O1" t="s">
        <v>281</v>
      </c>
      <c r="P1" t="s">
        <v>282</v>
      </c>
      <c r="Q1" t="s">
        <v>283</v>
      </c>
      <c r="R1" t="s">
        <v>284</v>
      </c>
      <c r="S1" t="s">
        <v>285</v>
      </c>
      <c r="T1" t="s">
        <v>286</v>
      </c>
      <c r="U1" t="s">
        <v>287</v>
      </c>
      <c r="V1" t="s">
        <v>288</v>
      </c>
      <c r="W1" t="s">
        <v>289</v>
      </c>
      <c r="X1" t="s">
        <v>290</v>
      </c>
      <c r="Y1" t="s">
        <v>291</v>
      </c>
      <c r="Z1" t="s">
        <v>292</v>
      </c>
      <c r="AA1" t="s">
        <v>293</v>
      </c>
      <c r="AB1" t="s">
        <v>294</v>
      </c>
      <c r="AC1" t="s">
        <v>295</v>
      </c>
      <c r="AD1" t="s">
        <v>296</v>
      </c>
      <c r="AE1" t="s">
        <v>297</v>
      </c>
      <c r="AF1" t="s">
        <v>298</v>
      </c>
      <c r="AG1" t="s">
        <v>299</v>
      </c>
      <c r="AH1" t="s">
        <v>300</v>
      </c>
      <c r="AI1" t="s">
        <v>301</v>
      </c>
      <c r="AJ1" t="s">
        <v>302</v>
      </c>
      <c r="AK1" t="s">
        <v>303</v>
      </c>
      <c r="AL1" t="s">
        <v>304</v>
      </c>
      <c r="AM1" t="s">
        <v>305</v>
      </c>
      <c r="AN1" t="s">
        <v>306</v>
      </c>
      <c r="AO1" t="s">
        <v>307</v>
      </c>
      <c r="AP1" t="s">
        <v>308</v>
      </c>
      <c r="AQ1" t="s">
        <v>309</v>
      </c>
      <c r="AR1" t="s">
        <v>310</v>
      </c>
      <c r="AS1" t="s">
        <v>311</v>
      </c>
      <c r="AT1" t="s">
        <v>312</v>
      </c>
      <c r="AU1" t="s">
        <v>313</v>
      </c>
      <c r="AV1" t="s">
        <v>314</v>
      </c>
      <c r="AW1" t="s">
        <v>315</v>
      </c>
      <c r="AX1" t="s">
        <v>316</v>
      </c>
      <c r="AY1" t="s">
        <v>317</v>
      </c>
      <c r="AZ1" t="s">
        <v>318</v>
      </c>
      <c r="BA1" t="s">
        <v>319</v>
      </c>
      <c r="BB1" t="s">
        <v>320</v>
      </c>
      <c r="BC1" t="s">
        <v>321</v>
      </c>
      <c r="BD1" t="s">
        <v>322</v>
      </c>
      <c r="BE1" t="s">
        <v>323</v>
      </c>
      <c r="BF1" t="s">
        <v>324</v>
      </c>
      <c r="BG1" t="s">
        <v>325</v>
      </c>
      <c r="BH1" t="s">
        <v>326</v>
      </c>
      <c r="BI1" t="s">
        <v>327</v>
      </c>
      <c r="BJ1" t="s">
        <v>328</v>
      </c>
      <c r="BK1" t="s">
        <v>329</v>
      </c>
      <c r="BL1" t="s">
        <v>330</v>
      </c>
      <c r="BM1" t="s">
        <v>331</v>
      </c>
      <c r="BN1" t="s">
        <v>332</v>
      </c>
      <c r="BO1" t="s">
        <v>333</v>
      </c>
      <c r="BP1" t="s">
        <v>334</v>
      </c>
      <c r="BQ1" t="s">
        <v>335</v>
      </c>
      <c r="BR1" t="s">
        <v>336</v>
      </c>
      <c r="BS1" t="s">
        <v>337</v>
      </c>
      <c r="BT1" t="s">
        <v>338</v>
      </c>
      <c r="BU1" t="s">
        <v>339</v>
      </c>
      <c r="BV1" t="s">
        <v>340</v>
      </c>
      <c r="BW1" t="s">
        <v>341</v>
      </c>
      <c r="BX1" t="s">
        <v>342</v>
      </c>
      <c r="BY1" t="s">
        <v>343</v>
      </c>
      <c r="BZ1" t="s">
        <v>344</v>
      </c>
      <c r="CA1" t="s">
        <v>345</v>
      </c>
      <c r="CB1" t="s">
        <v>346</v>
      </c>
      <c r="CC1" t="s">
        <v>347</v>
      </c>
      <c r="CD1" t="s">
        <v>348</v>
      </c>
      <c r="CE1" t="s">
        <v>349</v>
      </c>
      <c r="CF1" t="s">
        <v>350</v>
      </c>
      <c r="CG1" t="s">
        <v>351</v>
      </c>
      <c r="CH1" t="s">
        <v>352</v>
      </c>
      <c r="CI1" t="s">
        <v>353</v>
      </c>
      <c r="CJ1" t="s">
        <v>354</v>
      </c>
      <c r="CK1" t="s">
        <v>355</v>
      </c>
      <c r="CL1" t="s">
        <v>356</v>
      </c>
      <c r="CM1" t="s">
        <v>357</v>
      </c>
      <c r="CN1" t="s">
        <v>358</v>
      </c>
      <c r="CO1" t="s">
        <v>359</v>
      </c>
      <c r="CP1" t="s">
        <v>360</v>
      </c>
      <c r="CQ1" t="s">
        <v>361</v>
      </c>
      <c r="CR1" t="s">
        <v>362</v>
      </c>
      <c r="CS1" t="s">
        <v>363</v>
      </c>
      <c r="CT1" t="s">
        <v>364</v>
      </c>
      <c r="CU1" t="s">
        <v>365</v>
      </c>
      <c r="CV1" t="s">
        <v>366</v>
      </c>
      <c r="CW1" t="s">
        <v>367</v>
      </c>
      <c r="CX1" t="s">
        <v>368</v>
      </c>
      <c r="CY1" t="s">
        <v>369</v>
      </c>
      <c r="CZ1" t="s">
        <v>370</v>
      </c>
      <c r="DA1" t="s">
        <v>371</v>
      </c>
      <c r="DB1" t="s">
        <v>372</v>
      </c>
      <c r="DC1" t="s">
        <v>373</v>
      </c>
      <c r="DD1" t="s">
        <v>374</v>
      </c>
      <c r="DE1" t="s">
        <v>375</v>
      </c>
      <c r="DF1" t="s">
        <v>376</v>
      </c>
      <c r="DG1" t="s">
        <v>377</v>
      </c>
      <c r="DH1" t="s">
        <v>378</v>
      </c>
      <c r="DI1" t="s">
        <v>379</v>
      </c>
      <c r="DJ1" t="s">
        <v>380</v>
      </c>
      <c r="DK1" t="s">
        <v>381</v>
      </c>
      <c r="DL1" t="s">
        <v>382</v>
      </c>
      <c r="DM1" t="s">
        <v>383</v>
      </c>
      <c r="DN1" t="s">
        <v>384</v>
      </c>
      <c r="DO1" t="s">
        <v>385</v>
      </c>
      <c r="DP1" t="s">
        <v>386</v>
      </c>
      <c r="DQ1" t="s">
        <v>387</v>
      </c>
      <c r="DR1" t="s">
        <v>388</v>
      </c>
      <c r="DS1" t="s">
        <v>389</v>
      </c>
      <c r="DT1" t="s">
        <v>390</v>
      </c>
      <c r="DU1" t="s">
        <v>391</v>
      </c>
      <c r="DV1" t="s">
        <v>392</v>
      </c>
      <c r="DW1" t="s">
        <v>393</v>
      </c>
      <c r="DX1" t="s">
        <v>394</v>
      </c>
      <c r="DY1" t="s">
        <v>395</v>
      </c>
      <c r="DZ1" t="s">
        <v>396</v>
      </c>
      <c r="EA1" t="s">
        <v>397</v>
      </c>
      <c r="EB1" t="s">
        <v>398</v>
      </c>
      <c r="EC1" t="s">
        <v>399</v>
      </c>
      <c r="ED1" t="s">
        <v>400</v>
      </c>
      <c r="EE1" t="s">
        <v>401</v>
      </c>
      <c r="EF1" t="s">
        <v>402</v>
      </c>
      <c r="EG1" t="s">
        <v>403</v>
      </c>
      <c r="EH1" t="s">
        <v>404</v>
      </c>
      <c r="EI1" t="s">
        <v>405</v>
      </c>
      <c r="EJ1" t="s">
        <v>406</v>
      </c>
      <c r="EK1" t="s">
        <v>407</v>
      </c>
      <c r="EL1" t="s">
        <v>408</v>
      </c>
      <c r="EM1" t="s">
        <v>409</v>
      </c>
      <c r="EN1" t="s">
        <v>410</v>
      </c>
      <c r="EO1" t="s">
        <v>411</v>
      </c>
      <c r="EP1" t="s">
        <v>412</v>
      </c>
      <c r="EQ1" t="s">
        <v>413</v>
      </c>
      <c r="ER1" t="s">
        <v>414</v>
      </c>
      <c r="ES1" t="s">
        <v>415</v>
      </c>
      <c r="ET1" t="s">
        <v>416</v>
      </c>
      <c r="EU1" t="s">
        <v>417</v>
      </c>
      <c r="EV1" t="s">
        <v>418</v>
      </c>
      <c r="EW1" t="s">
        <v>419</v>
      </c>
      <c r="EX1" t="s">
        <v>420</v>
      </c>
      <c r="EY1" t="s">
        <v>421</v>
      </c>
      <c r="EZ1" t="s">
        <v>422</v>
      </c>
      <c r="FA1" t="s">
        <v>423</v>
      </c>
      <c r="FB1" t="s">
        <v>424</v>
      </c>
      <c r="FC1" t="s">
        <v>425</v>
      </c>
      <c r="FD1" t="s">
        <v>426</v>
      </c>
      <c r="FE1" t="s">
        <v>427</v>
      </c>
      <c r="FF1" t="s">
        <v>428</v>
      </c>
      <c r="FG1" t="s">
        <v>429</v>
      </c>
      <c r="FH1" t="s">
        <v>430</v>
      </c>
      <c r="FI1" t="s">
        <v>431</v>
      </c>
      <c r="FJ1" t="s">
        <v>432</v>
      </c>
      <c r="FK1" t="s">
        <v>433</v>
      </c>
      <c r="FL1" t="s">
        <v>434</v>
      </c>
      <c r="FM1" t="s">
        <v>435</v>
      </c>
      <c r="FN1" t="s">
        <v>436</v>
      </c>
      <c r="FO1" t="s">
        <v>437</v>
      </c>
      <c r="FP1" t="s">
        <v>438</v>
      </c>
      <c r="FQ1" t="s">
        <v>439</v>
      </c>
      <c r="FR1" t="s">
        <v>440</v>
      </c>
      <c r="FS1" t="s">
        <v>441</v>
      </c>
      <c r="FT1" t="s">
        <v>442</v>
      </c>
      <c r="FU1" t="s">
        <v>443</v>
      </c>
      <c r="FV1" t="s">
        <v>444</v>
      </c>
      <c r="FW1" t="s">
        <v>445</v>
      </c>
      <c r="FX1" t="s">
        <v>446</v>
      </c>
      <c r="FY1" t="s">
        <v>447</v>
      </c>
      <c r="FZ1" t="s">
        <v>448</v>
      </c>
      <c r="GA1" t="s">
        <v>449</v>
      </c>
      <c r="GB1" t="s">
        <v>450</v>
      </c>
      <c r="GC1" t="s">
        <v>451</v>
      </c>
      <c r="GD1" t="s">
        <v>452</v>
      </c>
      <c r="GE1" t="s">
        <v>453</v>
      </c>
      <c r="GF1" t="s">
        <v>454</v>
      </c>
      <c r="GG1" t="s">
        <v>455</v>
      </c>
      <c r="GH1" t="s">
        <v>456</v>
      </c>
      <c r="GI1" t="s">
        <v>457</v>
      </c>
      <c r="GJ1" t="s">
        <v>458</v>
      </c>
      <c r="GK1" t="s">
        <v>459</v>
      </c>
      <c r="GL1" t="s">
        <v>460</v>
      </c>
      <c r="GM1" t="s">
        <v>461</v>
      </c>
      <c r="GN1" t="s">
        <v>462</v>
      </c>
      <c r="GO1" t="s">
        <v>463</v>
      </c>
      <c r="GP1" t="s">
        <v>464</v>
      </c>
      <c r="GQ1" t="s">
        <v>465</v>
      </c>
      <c r="GR1" t="s">
        <v>466</v>
      </c>
      <c r="GS1" t="s">
        <v>467</v>
      </c>
      <c r="GT1" t="s">
        <v>468</v>
      </c>
      <c r="GU1" t="s">
        <v>469</v>
      </c>
      <c r="GV1" t="s">
        <v>470</v>
      </c>
      <c r="GW1" t="s">
        <v>471</v>
      </c>
      <c r="GX1" t="s">
        <v>472</v>
      </c>
      <c r="GY1" t="s">
        <v>473</v>
      </c>
      <c r="GZ1" t="s">
        <v>474</v>
      </c>
      <c r="HA1" t="s">
        <v>475</v>
      </c>
      <c r="HB1" t="s">
        <v>476</v>
      </c>
      <c r="HC1" t="s">
        <v>477</v>
      </c>
      <c r="HD1" t="s">
        <v>478</v>
      </c>
      <c r="HE1" t="s">
        <v>479</v>
      </c>
      <c r="HF1" t="s">
        <v>480</v>
      </c>
      <c r="HG1" t="s">
        <v>481</v>
      </c>
      <c r="HH1" t="s">
        <v>482</v>
      </c>
      <c r="HI1" t="s">
        <v>483</v>
      </c>
      <c r="HJ1" t="s">
        <v>484</v>
      </c>
      <c r="HK1" t="s">
        <v>485</v>
      </c>
      <c r="HL1" t="s">
        <v>486</v>
      </c>
      <c r="HM1" t="s">
        <v>487</v>
      </c>
      <c r="HN1" t="s">
        <v>488</v>
      </c>
      <c r="HO1" t="s">
        <v>489</v>
      </c>
      <c r="HP1" t="s">
        <v>490</v>
      </c>
      <c r="HQ1" t="s">
        <v>491</v>
      </c>
    </row>
    <row r="2" spans="1:225" x14ac:dyDescent="0.25">
      <c r="A2" s="22" t="str">
        <f>County</f>
        <v>Ventura</v>
      </c>
      <c r="B2" s="24">
        <f>Reportdate</f>
        <v>44124</v>
      </c>
      <c r="C2" s="23" t="e">
        <f>Chief</f>
        <v>#REF!</v>
      </c>
      <c r="D2" t="e">
        <f>Chiefphone2</f>
        <v>#REF!</v>
      </c>
      <c r="E2" s="10" t="e">
        <f>Address</f>
        <v>#REF!</v>
      </c>
      <c r="F2" s="10" t="e">
        <f>City</f>
        <v>#REF!</v>
      </c>
      <c r="G2" s="9" t="e">
        <f>ZIP</f>
        <v>#REF!</v>
      </c>
      <c r="H2" s="10" t="e">
        <f>Chiefemail2</f>
        <v>#REF!</v>
      </c>
      <c r="I2" t="str">
        <f>primcontact</f>
        <v>Carrie Vredenburgh</v>
      </c>
      <c r="J2" t="str">
        <f>primarytitle</f>
        <v>Division Manager</v>
      </c>
      <c r="K2" t="str">
        <f>primphone</f>
        <v>805-973-5123</v>
      </c>
      <c r="L2" s="10" t="str">
        <f>preemail</f>
        <v>carrie.vredenburgh@ventura.org</v>
      </c>
      <c r="M2" t="str">
        <f>seccontact</f>
        <v>Sandra Carrillo</v>
      </c>
      <c r="N2" t="str">
        <f>seccontitle</f>
        <v>Division Manager</v>
      </c>
      <c r="O2" t="str">
        <f>secphone</f>
        <v>805-981-5545</v>
      </c>
      <c r="P2" t="str">
        <f>secemail</f>
        <v>sandra.carrillo@ventura.org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500000</v>
      </c>
      <c r="AA2" s="11">
        <f>t1yobgequip</f>
        <v>0</v>
      </c>
      <c r="AB2" s="11">
        <f>t1yobgadmin</f>
        <v>33165</v>
      </c>
      <c r="AC2" s="11">
        <f>t1yobgothr1</f>
        <v>0</v>
      </c>
      <c r="AD2" s="11">
        <f>t1yobgothr2</f>
        <v>0</v>
      </c>
      <c r="AE2" s="11">
        <f>t1yobgothr3</f>
        <v>0</v>
      </c>
      <c r="AF2" s="11">
        <f>t1yobgtot</f>
        <v>533165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267</v>
      </c>
      <c r="B1" t="s">
        <v>492</v>
      </c>
      <c r="C1" t="s">
        <v>493</v>
      </c>
      <c r="D1" t="s">
        <v>494</v>
      </c>
      <c r="E1" t="s">
        <v>495</v>
      </c>
      <c r="F1" t="s">
        <v>496</v>
      </c>
      <c r="G1" t="s">
        <v>497</v>
      </c>
      <c r="H1" t="s">
        <v>498</v>
      </c>
      <c r="I1" t="s">
        <v>499</v>
      </c>
      <c r="J1" t="s">
        <v>500</v>
      </c>
      <c r="K1" t="s">
        <v>501</v>
      </c>
      <c r="L1" t="s">
        <v>502</v>
      </c>
      <c r="M1" t="s">
        <v>503</v>
      </c>
      <c r="N1" t="s">
        <v>504</v>
      </c>
      <c r="O1" t="s">
        <v>505</v>
      </c>
      <c r="P1" t="s">
        <v>506</v>
      </c>
      <c r="Q1" t="s">
        <v>507</v>
      </c>
      <c r="R1" t="s">
        <v>508</v>
      </c>
      <c r="S1" t="s">
        <v>509</v>
      </c>
      <c r="T1" t="s">
        <v>510</v>
      </c>
      <c r="U1" t="s">
        <v>511</v>
      </c>
      <c r="V1" t="s">
        <v>512</v>
      </c>
      <c r="W1" t="s">
        <v>513</v>
      </c>
      <c r="X1" t="s">
        <v>514</v>
      </c>
      <c r="Y1" t="s">
        <v>515</v>
      </c>
      <c r="Z1" t="s">
        <v>516</v>
      </c>
      <c r="AA1" t="s">
        <v>517</v>
      </c>
      <c r="AB1" t="s">
        <v>518</v>
      </c>
      <c r="AC1" t="s">
        <v>519</v>
      </c>
      <c r="AD1" t="s">
        <v>520</v>
      </c>
      <c r="AE1" t="s">
        <v>521</v>
      </c>
      <c r="AF1" t="s">
        <v>522</v>
      </c>
      <c r="AG1" t="s">
        <v>523</v>
      </c>
      <c r="AH1" t="s">
        <v>524</v>
      </c>
      <c r="AI1" t="s">
        <v>525</v>
      </c>
      <c r="AJ1" t="s">
        <v>526</v>
      </c>
      <c r="AK1" t="s">
        <v>527</v>
      </c>
      <c r="AL1" t="s">
        <v>528</v>
      </c>
      <c r="AM1" t="s">
        <v>529</v>
      </c>
      <c r="AN1" t="s">
        <v>530</v>
      </c>
      <c r="AO1" t="s">
        <v>531</v>
      </c>
      <c r="AP1" t="s">
        <v>532</v>
      </c>
      <c r="AQ1" t="s">
        <v>533</v>
      </c>
      <c r="AR1" t="s">
        <v>534</v>
      </c>
      <c r="AS1" t="s">
        <v>535</v>
      </c>
      <c r="AT1" t="s">
        <v>536</v>
      </c>
      <c r="AU1" t="s">
        <v>537</v>
      </c>
      <c r="AV1" t="s">
        <v>538</v>
      </c>
      <c r="AW1" t="s">
        <v>539</v>
      </c>
      <c r="AX1" t="s">
        <v>540</v>
      </c>
      <c r="AY1" t="s">
        <v>541</v>
      </c>
      <c r="AZ1" t="s">
        <v>542</v>
      </c>
      <c r="BA1" t="s">
        <v>543</v>
      </c>
      <c r="BB1" t="s">
        <v>544</v>
      </c>
      <c r="BC1" t="s">
        <v>545</v>
      </c>
      <c r="BD1" t="s">
        <v>546</v>
      </c>
      <c r="BE1" t="s">
        <v>547</v>
      </c>
      <c r="BF1" t="s">
        <v>548</v>
      </c>
      <c r="BG1" t="s">
        <v>549</v>
      </c>
      <c r="BH1" t="s">
        <v>550</v>
      </c>
      <c r="BI1" t="s">
        <v>551</v>
      </c>
      <c r="BJ1" t="s">
        <v>552</v>
      </c>
      <c r="BK1" t="s">
        <v>553</v>
      </c>
      <c r="BL1" t="s">
        <v>554</v>
      </c>
      <c r="BM1" t="s">
        <v>555</v>
      </c>
      <c r="BN1" t="s">
        <v>556</v>
      </c>
      <c r="BO1" t="s">
        <v>557</v>
      </c>
      <c r="BP1" t="s">
        <v>558</v>
      </c>
      <c r="BQ1" t="s">
        <v>559</v>
      </c>
      <c r="BR1" t="s">
        <v>560</v>
      </c>
      <c r="BS1" t="s">
        <v>561</v>
      </c>
      <c r="BT1" t="s">
        <v>562</v>
      </c>
      <c r="BU1" t="s">
        <v>563</v>
      </c>
      <c r="BV1" t="s">
        <v>564</v>
      </c>
      <c r="BW1" t="s">
        <v>565</v>
      </c>
      <c r="BX1" t="s">
        <v>566</v>
      </c>
      <c r="BY1" t="s">
        <v>567</v>
      </c>
      <c r="BZ1" t="s">
        <v>568</v>
      </c>
      <c r="CA1" t="s">
        <v>569</v>
      </c>
      <c r="CB1" t="s">
        <v>570</v>
      </c>
      <c r="CC1" t="s">
        <v>571</v>
      </c>
      <c r="CD1" t="s">
        <v>572</v>
      </c>
      <c r="CE1" t="s">
        <v>573</v>
      </c>
      <c r="CF1" t="s">
        <v>574</v>
      </c>
      <c r="CG1" t="s">
        <v>575</v>
      </c>
      <c r="CH1" t="s">
        <v>576</v>
      </c>
      <c r="CI1" t="s">
        <v>577</v>
      </c>
      <c r="CJ1" t="s">
        <v>578</v>
      </c>
      <c r="CK1" t="s">
        <v>579</v>
      </c>
      <c r="CL1" t="s">
        <v>580</v>
      </c>
      <c r="CM1" t="s">
        <v>581</v>
      </c>
      <c r="CN1" t="s">
        <v>582</v>
      </c>
      <c r="CO1" t="s">
        <v>583</v>
      </c>
      <c r="CP1" t="s">
        <v>584</v>
      </c>
      <c r="CQ1" t="s">
        <v>585</v>
      </c>
      <c r="CR1" t="s">
        <v>586</v>
      </c>
      <c r="CS1" t="s">
        <v>587</v>
      </c>
      <c r="CT1" t="s">
        <v>588</v>
      </c>
      <c r="CU1" t="s">
        <v>589</v>
      </c>
      <c r="CV1" t="s">
        <v>590</v>
      </c>
      <c r="CW1" t="s">
        <v>591</v>
      </c>
      <c r="CX1" t="s">
        <v>592</v>
      </c>
      <c r="CY1" t="s">
        <v>593</v>
      </c>
      <c r="CZ1" t="s">
        <v>594</v>
      </c>
      <c r="DA1" t="s">
        <v>595</v>
      </c>
      <c r="DB1" t="s">
        <v>596</v>
      </c>
      <c r="DC1" t="s">
        <v>597</v>
      </c>
      <c r="DD1" t="s">
        <v>598</v>
      </c>
      <c r="DE1" t="s">
        <v>599</v>
      </c>
      <c r="DF1" t="s">
        <v>600</v>
      </c>
      <c r="DG1" t="s">
        <v>601</v>
      </c>
      <c r="DH1" t="s">
        <v>602</v>
      </c>
      <c r="DI1" t="s">
        <v>603</v>
      </c>
      <c r="DJ1" t="s">
        <v>604</v>
      </c>
      <c r="DK1" t="s">
        <v>605</v>
      </c>
      <c r="DL1" t="s">
        <v>606</v>
      </c>
      <c r="DM1" t="s">
        <v>607</v>
      </c>
      <c r="DN1" t="s">
        <v>608</v>
      </c>
      <c r="DO1" t="s">
        <v>609</v>
      </c>
      <c r="DP1" t="s">
        <v>610</v>
      </c>
      <c r="DQ1" t="s">
        <v>611</v>
      </c>
      <c r="DR1" t="s">
        <v>612</v>
      </c>
      <c r="DS1" t="s">
        <v>613</v>
      </c>
      <c r="DT1" t="s">
        <v>614</v>
      </c>
      <c r="DU1" t="s">
        <v>615</v>
      </c>
      <c r="DV1" t="s">
        <v>616</v>
      </c>
      <c r="DW1" t="s">
        <v>617</v>
      </c>
      <c r="DX1" t="s">
        <v>618</v>
      </c>
      <c r="DY1" t="s">
        <v>619</v>
      </c>
      <c r="DZ1" t="s">
        <v>620</v>
      </c>
      <c r="EA1" t="s">
        <v>621</v>
      </c>
      <c r="EB1" t="s">
        <v>622</v>
      </c>
      <c r="EC1" t="s">
        <v>623</v>
      </c>
      <c r="ED1" t="s">
        <v>624</v>
      </c>
      <c r="EE1" t="s">
        <v>625</v>
      </c>
      <c r="EF1" t="s">
        <v>626</v>
      </c>
      <c r="EG1" t="s">
        <v>627</v>
      </c>
      <c r="EH1" t="s">
        <v>628</v>
      </c>
      <c r="EI1" t="s">
        <v>629</v>
      </c>
      <c r="EJ1" t="s">
        <v>630</v>
      </c>
      <c r="EK1" t="s">
        <v>631</v>
      </c>
      <c r="EL1" t="s">
        <v>632</v>
      </c>
      <c r="EM1" t="s">
        <v>633</v>
      </c>
      <c r="EN1" t="s">
        <v>634</v>
      </c>
      <c r="EO1" t="s">
        <v>635</v>
      </c>
      <c r="EP1" t="s">
        <v>636</v>
      </c>
      <c r="EQ1" t="s">
        <v>637</v>
      </c>
      <c r="ER1" t="s">
        <v>638</v>
      </c>
      <c r="ES1" t="s">
        <v>639</v>
      </c>
      <c r="ET1" t="s">
        <v>640</v>
      </c>
      <c r="EU1" t="s">
        <v>641</v>
      </c>
      <c r="EV1" t="s">
        <v>642</v>
      </c>
      <c r="EW1" t="s">
        <v>643</v>
      </c>
      <c r="EX1" t="s">
        <v>644</v>
      </c>
      <c r="EY1" t="s">
        <v>645</v>
      </c>
      <c r="EZ1" t="s">
        <v>646</v>
      </c>
      <c r="FA1" t="s">
        <v>647</v>
      </c>
      <c r="FB1" t="s">
        <v>648</v>
      </c>
      <c r="FC1" t="s">
        <v>649</v>
      </c>
      <c r="FD1" t="s">
        <v>650</v>
      </c>
      <c r="FE1" t="s">
        <v>651</v>
      </c>
      <c r="FF1" t="s">
        <v>652</v>
      </c>
      <c r="FG1" t="s">
        <v>653</v>
      </c>
      <c r="FH1" t="s">
        <v>654</v>
      </c>
      <c r="FI1" t="s">
        <v>655</v>
      </c>
      <c r="FJ1" t="s">
        <v>656</v>
      </c>
      <c r="FK1" t="s">
        <v>657</v>
      </c>
      <c r="FL1" t="s">
        <v>658</v>
      </c>
      <c r="FM1" t="s">
        <v>659</v>
      </c>
      <c r="FN1" t="s">
        <v>660</v>
      </c>
      <c r="FO1" t="s">
        <v>661</v>
      </c>
      <c r="FP1" t="s">
        <v>662</v>
      </c>
      <c r="FQ1" t="s">
        <v>663</v>
      </c>
      <c r="FR1" t="s">
        <v>664</v>
      </c>
      <c r="FS1" t="s">
        <v>665</v>
      </c>
      <c r="FT1" t="s">
        <v>666</v>
      </c>
      <c r="FU1" t="s">
        <v>667</v>
      </c>
      <c r="FV1" t="s">
        <v>668</v>
      </c>
      <c r="FW1" t="s">
        <v>669</v>
      </c>
      <c r="FX1" t="s">
        <v>670</v>
      </c>
      <c r="FY1" t="s">
        <v>671</v>
      </c>
      <c r="FZ1" t="s">
        <v>672</v>
      </c>
      <c r="GA1" t="s">
        <v>673</v>
      </c>
      <c r="GB1" t="s">
        <v>674</v>
      </c>
      <c r="GC1" t="s">
        <v>675</v>
      </c>
      <c r="GD1" t="s">
        <v>676</v>
      </c>
      <c r="GE1" t="s">
        <v>677</v>
      </c>
      <c r="GF1" t="s">
        <v>678</v>
      </c>
      <c r="GG1" t="s">
        <v>679</v>
      </c>
      <c r="GH1" t="s">
        <v>680</v>
      </c>
      <c r="GI1" t="s">
        <v>681</v>
      </c>
      <c r="GJ1" t="s">
        <v>682</v>
      </c>
      <c r="GK1" t="s">
        <v>683</v>
      </c>
      <c r="GL1" t="s">
        <v>684</v>
      </c>
      <c r="GM1" t="s">
        <v>685</v>
      </c>
      <c r="GN1" t="s">
        <v>686</v>
      </c>
      <c r="GO1" t="s">
        <v>687</v>
      </c>
      <c r="GP1" t="s">
        <v>688</v>
      </c>
      <c r="GQ1" t="s">
        <v>689</v>
      </c>
      <c r="GR1" t="s">
        <v>690</v>
      </c>
      <c r="GS1" t="s">
        <v>691</v>
      </c>
      <c r="GT1" t="s">
        <v>692</v>
      </c>
      <c r="GU1" t="s">
        <v>693</v>
      </c>
      <c r="GV1" t="s">
        <v>694</v>
      </c>
      <c r="GW1" t="s">
        <v>695</v>
      </c>
      <c r="GX1" t="s">
        <v>696</v>
      </c>
      <c r="GY1" t="s">
        <v>697</v>
      </c>
      <c r="GZ1" t="s">
        <v>231</v>
      </c>
      <c r="HA1" t="s">
        <v>698</v>
      </c>
      <c r="HB1" t="s">
        <v>699</v>
      </c>
      <c r="HC1" t="s">
        <v>700</v>
      </c>
      <c r="HD1" t="s">
        <v>701</v>
      </c>
      <c r="HE1" t="s">
        <v>702</v>
      </c>
      <c r="HF1" t="s">
        <v>703</v>
      </c>
      <c r="HG1" t="s">
        <v>704</v>
      </c>
      <c r="HH1" t="s">
        <v>705</v>
      </c>
      <c r="HI1" t="s">
        <v>706</v>
      </c>
      <c r="HJ1" t="s">
        <v>707</v>
      </c>
      <c r="HK1" t="s">
        <v>708</v>
      </c>
      <c r="HL1" t="s">
        <v>709</v>
      </c>
      <c r="HM1" t="s">
        <v>710</v>
      </c>
      <c r="HN1" t="s">
        <v>711</v>
      </c>
      <c r="HO1" t="s">
        <v>712</v>
      </c>
      <c r="HP1" t="s">
        <v>713</v>
      </c>
      <c r="HQ1" t="s">
        <v>714</v>
      </c>
    </row>
    <row r="2" spans="1:225" x14ac:dyDescent="0.25">
      <c r="A2" s="22" t="str">
        <f>County</f>
        <v>Ventura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267</v>
      </c>
      <c r="B1" t="s">
        <v>715</v>
      </c>
      <c r="C1" t="s">
        <v>716</v>
      </c>
      <c r="D1" s="1" t="s">
        <v>717</v>
      </c>
      <c r="E1" s="1" t="s">
        <v>718</v>
      </c>
      <c r="F1" s="1" t="s">
        <v>719</v>
      </c>
      <c r="G1" s="1" t="s">
        <v>720</v>
      </c>
      <c r="H1" s="1" t="s">
        <v>721</v>
      </c>
      <c r="I1" s="1" t="s">
        <v>722</v>
      </c>
      <c r="J1" t="s">
        <v>287</v>
      </c>
      <c r="K1" t="s">
        <v>288</v>
      </c>
      <c r="L1" t="s">
        <v>723</v>
      </c>
      <c r="M1" t="s">
        <v>724</v>
      </c>
      <c r="N1" t="s">
        <v>319</v>
      </c>
      <c r="O1" t="s">
        <v>320</v>
      </c>
      <c r="P1" t="s">
        <v>321</v>
      </c>
      <c r="Q1" t="s">
        <v>725</v>
      </c>
      <c r="R1" t="s">
        <v>726</v>
      </c>
      <c r="S1" t="s">
        <v>727</v>
      </c>
      <c r="T1" t="s">
        <v>728</v>
      </c>
      <c r="U1" t="s">
        <v>729</v>
      </c>
      <c r="V1" t="s">
        <v>730</v>
      </c>
      <c r="W1" t="s">
        <v>731</v>
      </c>
      <c r="X1" t="s">
        <v>328</v>
      </c>
      <c r="Y1" t="s">
        <v>329</v>
      </c>
      <c r="Z1" t="s">
        <v>732</v>
      </c>
      <c r="AA1" t="s">
        <v>733</v>
      </c>
      <c r="AB1" t="s">
        <v>360</v>
      </c>
      <c r="AC1" t="s">
        <v>361</v>
      </c>
      <c r="AD1" t="s">
        <v>362</v>
      </c>
      <c r="AE1" t="s">
        <v>734</v>
      </c>
      <c r="AF1" t="s">
        <v>735</v>
      </c>
      <c r="AG1" t="s">
        <v>736</v>
      </c>
      <c r="AH1" t="s">
        <v>737</v>
      </c>
      <c r="AI1" t="s">
        <v>738</v>
      </c>
      <c r="AJ1" t="s">
        <v>739</v>
      </c>
      <c r="AK1" t="s">
        <v>740</v>
      </c>
      <c r="AL1" t="s">
        <v>369</v>
      </c>
      <c r="AM1" t="s">
        <v>370</v>
      </c>
      <c r="AN1" t="s">
        <v>741</v>
      </c>
      <c r="AO1" t="s">
        <v>742</v>
      </c>
      <c r="AP1" t="s">
        <v>401</v>
      </c>
      <c r="AQ1" t="s">
        <v>402</v>
      </c>
      <c r="AR1" t="s">
        <v>403</v>
      </c>
      <c r="AS1" t="s">
        <v>743</v>
      </c>
      <c r="AT1" t="s">
        <v>744</v>
      </c>
      <c r="AU1" t="s">
        <v>745</v>
      </c>
      <c r="AV1" t="s">
        <v>746</v>
      </c>
      <c r="AW1" t="s">
        <v>747</v>
      </c>
      <c r="AX1" t="s">
        <v>748</v>
      </c>
      <c r="AY1" t="s">
        <v>749</v>
      </c>
      <c r="AZ1" t="s">
        <v>410</v>
      </c>
      <c r="BA1" t="s">
        <v>411</v>
      </c>
      <c r="BB1" t="s">
        <v>750</v>
      </c>
      <c r="BC1" t="s">
        <v>751</v>
      </c>
      <c r="BD1" t="s">
        <v>442</v>
      </c>
      <c r="BE1" t="s">
        <v>443</v>
      </c>
      <c r="BF1" t="s">
        <v>444</v>
      </c>
      <c r="BG1" t="s">
        <v>752</v>
      </c>
      <c r="BH1" t="s">
        <v>753</v>
      </c>
      <c r="BI1" t="s">
        <v>754</v>
      </c>
      <c r="BJ1" t="s">
        <v>755</v>
      </c>
      <c r="BK1" t="s">
        <v>756</v>
      </c>
      <c r="BL1" t="s">
        <v>757</v>
      </c>
      <c r="BM1" t="s">
        <v>758</v>
      </c>
      <c r="BN1" t="s">
        <v>451</v>
      </c>
      <c r="BO1" t="s">
        <v>452</v>
      </c>
      <c r="BP1" t="s">
        <v>759</v>
      </c>
      <c r="BQ1" t="s">
        <v>760</v>
      </c>
      <c r="BR1" t="s">
        <v>483</v>
      </c>
      <c r="BS1" t="s">
        <v>484</v>
      </c>
      <c r="BT1" t="s">
        <v>485</v>
      </c>
      <c r="BU1" t="s">
        <v>761</v>
      </c>
      <c r="BV1" t="s">
        <v>762</v>
      </c>
      <c r="BW1" t="s">
        <v>763</v>
      </c>
      <c r="BX1" t="s">
        <v>764</v>
      </c>
      <c r="BY1" t="s">
        <v>765</v>
      </c>
      <c r="BZ1" t="s">
        <v>766</v>
      </c>
      <c r="CA1" t="s">
        <v>767</v>
      </c>
      <c r="CB1" t="s">
        <v>492</v>
      </c>
      <c r="CC1" t="s">
        <v>493</v>
      </c>
      <c r="CD1" t="s">
        <v>768</v>
      </c>
      <c r="CE1" t="s">
        <v>769</v>
      </c>
      <c r="CF1" t="s">
        <v>524</v>
      </c>
      <c r="CG1" t="s">
        <v>525</v>
      </c>
      <c r="CH1" t="s">
        <v>526</v>
      </c>
      <c r="CI1" t="s">
        <v>770</v>
      </c>
      <c r="CJ1" t="s">
        <v>771</v>
      </c>
      <c r="CK1" t="s">
        <v>772</v>
      </c>
      <c r="CL1" t="s">
        <v>773</v>
      </c>
      <c r="CM1" t="s">
        <v>774</v>
      </c>
      <c r="CN1" t="s">
        <v>775</v>
      </c>
      <c r="CO1" t="s">
        <v>776</v>
      </c>
      <c r="CP1" t="s">
        <v>533</v>
      </c>
      <c r="CQ1" t="s">
        <v>534</v>
      </c>
      <c r="CR1" t="s">
        <v>777</v>
      </c>
      <c r="CS1" t="s">
        <v>778</v>
      </c>
      <c r="CT1" t="s">
        <v>565</v>
      </c>
      <c r="CU1" t="s">
        <v>566</v>
      </c>
      <c r="CV1" t="s">
        <v>567</v>
      </c>
      <c r="CW1" t="s">
        <v>779</v>
      </c>
      <c r="CX1" t="s">
        <v>780</v>
      </c>
      <c r="CY1" t="s">
        <v>781</v>
      </c>
      <c r="CZ1" t="s">
        <v>782</v>
      </c>
      <c r="DA1" t="s">
        <v>783</v>
      </c>
      <c r="DB1" t="s">
        <v>784</v>
      </c>
      <c r="DC1" t="s">
        <v>785</v>
      </c>
      <c r="DD1" t="s">
        <v>574</v>
      </c>
      <c r="DE1" t="s">
        <v>575</v>
      </c>
      <c r="DF1" t="s">
        <v>786</v>
      </c>
      <c r="DG1" t="s">
        <v>787</v>
      </c>
      <c r="DH1" t="s">
        <v>606</v>
      </c>
      <c r="DI1" t="s">
        <v>607</v>
      </c>
      <c r="DJ1" t="s">
        <v>608</v>
      </c>
      <c r="DK1" t="s">
        <v>788</v>
      </c>
      <c r="DL1" t="s">
        <v>789</v>
      </c>
      <c r="DM1" t="s">
        <v>790</v>
      </c>
      <c r="DN1" t="s">
        <v>791</v>
      </c>
      <c r="DO1" t="s">
        <v>792</v>
      </c>
      <c r="DP1" t="s">
        <v>793</v>
      </c>
      <c r="DQ1" t="s">
        <v>794</v>
      </c>
      <c r="DR1" t="s">
        <v>615</v>
      </c>
      <c r="DS1" t="s">
        <v>616</v>
      </c>
      <c r="DT1" t="s">
        <v>795</v>
      </c>
      <c r="DU1" t="s">
        <v>796</v>
      </c>
      <c r="DV1" t="s">
        <v>647</v>
      </c>
      <c r="DW1" t="s">
        <v>648</v>
      </c>
      <c r="DX1" t="s">
        <v>649</v>
      </c>
      <c r="DY1" t="s">
        <v>797</v>
      </c>
      <c r="DZ1" t="s">
        <v>798</v>
      </c>
      <c r="EA1" t="s">
        <v>799</v>
      </c>
      <c r="EB1" t="s">
        <v>800</v>
      </c>
      <c r="EC1" t="s">
        <v>801</v>
      </c>
      <c r="ED1" t="s">
        <v>802</v>
      </c>
      <c r="EE1" t="s">
        <v>803</v>
      </c>
      <c r="EF1" t="s">
        <v>656</v>
      </c>
      <c r="EG1" t="s">
        <v>657</v>
      </c>
      <c r="EH1" t="s">
        <v>804</v>
      </c>
      <c r="EI1" t="s">
        <v>805</v>
      </c>
      <c r="EJ1" t="s">
        <v>688</v>
      </c>
      <c r="EK1" t="s">
        <v>689</v>
      </c>
      <c r="EL1" t="s">
        <v>690</v>
      </c>
      <c r="EM1" t="s">
        <v>806</v>
      </c>
      <c r="EN1" t="s">
        <v>807</v>
      </c>
      <c r="EO1" t="s">
        <v>808</v>
      </c>
      <c r="EP1" t="s">
        <v>809</v>
      </c>
      <c r="EQ1" t="s">
        <v>810</v>
      </c>
      <c r="ER1" t="s">
        <v>811</v>
      </c>
      <c r="ES1" t="s">
        <v>812</v>
      </c>
      <c r="ET1" s="106" t="s">
        <v>813</v>
      </c>
      <c r="EU1" s="106" t="s">
        <v>814</v>
      </c>
      <c r="EV1" s="106" t="s">
        <v>815</v>
      </c>
      <c r="EW1" t="s">
        <v>816</v>
      </c>
      <c r="EX1" t="s">
        <v>817</v>
      </c>
      <c r="EY1" t="s">
        <v>818</v>
      </c>
      <c r="EZ1" t="s">
        <v>819</v>
      </c>
      <c r="FA1" t="s">
        <v>820</v>
      </c>
      <c r="FB1" s="106" t="s">
        <v>821</v>
      </c>
      <c r="FC1" t="s">
        <v>822</v>
      </c>
      <c r="FD1" t="s">
        <v>823</v>
      </c>
      <c r="FE1" t="s">
        <v>824</v>
      </c>
      <c r="FF1" t="s">
        <v>825</v>
      </c>
      <c r="FG1" t="s">
        <v>826</v>
      </c>
      <c r="FH1" t="s">
        <v>827</v>
      </c>
      <c r="FI1" t="s">
        <v>828</v>
      </c>
      <c r="FJ1" t="s">
        <v>829</v>
      </c>
      <c r="FK1" t="s">
        <v>830</v>
      </c>
      <c r="FL1" t="s">
        <v>831</v>
      </c>
      <c r="FM1" t="s">
        <v>832</v>
      </c>
      <c r="FN1" t="s">
        <v>833</v>
      </c>
      <c r="FO1" t="s">
        <v>834</v>
      </c>
      <c r="FP1" t="s">
        <v>835</v>
      </c>
      <c r="FQ1" t="s">
        <v>836</v>
      </c>
      <c r="FR1" t="s">
        <v>837</v>
      </c>
      <c r="FS1" t="s">
        <v>838</v>
      </c>
      <c r="FT1" t="s">
        <v>839</v>
      </c>
      <c r="FU1" t="s">
        <v>840</v>
      </c>
      <c r="FV1" t="s">
        <v>841</v>
      </c>
      <c r="FW1" t="s">
        <v>842</v>
      </c>
      <c r="FX1" t="s">
        <v>843</v>
      </c>
      <c r="FY1" t="s">
        <v>844</v>
      </c>
      <c r="FZ1" t="s">
        <v>845</v>
      </c>
      <c r="GA1" t="s">
        <v>846</v>
      </c>
      <c r="GB1" t="s">
        <v>847</v>
      </c>
      <c r="GC1" t="s">
        <v>848</v>
      </c>
      <c r="GD1" t="s">
        <v>849</v>
      </c>
      <c r="GE1" t="s">
        <v>850</v>
      </c>
      <c r="GF1" t="s">
        <v>851</v>
      </c>
      <c r="GG1" t="s">
        <v>852</v>
      </c>
      <c r="GH1" t="s">
        <v>853</v>
      </c>
      <c r="GI1" t="s">
        <v>854</v>
      </c>
      <c r="GJ1" t="s">
        <v>855</v>
      </c>
      <c r="GK1" t="s">
        <v>856</v>
      </c>
      <c r="GL1" t="s">
        <v>857</v>
      </c>
      <c r="GM1" t="s">
        <v>858</v>
      </c>
      <c r="GN1" t="s">
        <v>859</v>
      </c>
      <c r="GO1" t="s">
        <v>860</v>
      </c>
      <c r="GP1" t="s">
        <v>861</v>
      </c>
      <c r="GQ1" t="s">
        <v>862</v>
      </c>
      <c r="GR1" t="s">
        <v>863</v>
      </c>
      <c r="GS1" t="s">
        <v>864</v>
      </c>
      <c r="GT1" t="s">
        <v>865</v>
      </c>
      <c r="GU1" t="s">
        <v>866</v>
      </c>
      <c r="GV1" t="s">
        <v>867</v>
      </c>
      <c r="GW1" t="s">
        <v>868</v>
      </c>
      <c r="GX1" t="s">
        <v>869</v>
      </c>
      <c r="GY1" t="s">
        <v>870</v>
      </c>
      <c r="GZ1" t="s">
        <v>871</v>
      </c>
      <c r="HA1" t="s">
        <v>872</v>
      </c>
      <c r="HB1" t="s">
        <v>873</v>
      </c>
    </row>
    <row r="2" spans="1:210" x14ac:dyDescent="0.25">
      <c r="A2" s="22" t="str">
        <f>County</f>
        <v>Ventura</v>
      </c>
      <c r="B2" s="9">
        <f>coord1</f>
        <v>0</v>
      </c>
      <c r="C2" s="9">
        <f>coord2</f>
        <v>0</v>
      </c>
      <c r="D2" s="26">
        <f>strategy</f>
        <v>0</v>
      </c>
      <c r="E2" s="26">
        <f>stratnar</f>
        <v>0</v>
      </c>
      <c r="F2" s="26">
        <f>stratdf</f>
        <v>0</v>
      </c>
      <c r="G2" s="26">
        <f>stratplan</f>
        <v>0</v>
      </c>
      <c r="H2" s="26">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34" t="e">
        <f>totyobgexp</f>
        <v>#REF!</v>
      </c>
      <c r="EU2" s="34" t="e">
        <f>fy1314all</f>
        <v>#REF!</v>
      </c>
      <c r="EV2" s="34" t="e">
        <f>fy1213all</f>
        <v>#REF!</v>
      </c>
      <c r="EW2" s="34" t="e">
        <f>fy1112all</f>
        <v>#REF!</v>
      </c>
      <c r="EX2" s="34" t="e">
        <f>fy1011all</f>
        <v>#REF!</v>
      </c>
      <c r="EY2" s="34" t="e">
        <f>fy0910all</f>
        <v>#REF!</v>
      </c>
      <c r="EZ2" s="34" t="e">
        <f>fy0809all</f>
        <v>#REF!</v>
      </c>
      <c r="FA2" s="34" t="e">
        <f>fy0708all</f>
        <v>#REF!</v>
      </c>
      <c r="FB2" s="34" t="e">
        <f>totforall</f>
        <v>#REF!</v>
      </c>
      <c r="FC2" s="34"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F3D69F89FB7449B4DE21B8E71C5AF5" ma:contentTypeVersion="9" ma:contentTypeDescription="Create a new document." ma:contentTypeScope="" ma:versionID="05febcdd411ee828474dd5b6eb8eef1a">
  <xsd:schema xmlns:xsd="http://www.w3.org/2001/XMLSchema" xmlns:xs="http://www.w3.org/2001/XMLSchema" xmlns:p="http://schemas.microsoft.com/office/2006/metadata/properties" xmlns:ns3="1ee5d240-6e5f-4c33-8a31-c7b934aeb4a2" xmlns:ns4="a1285d44-286f-4797-a521-3e7cc08c51ce" targetNamespace="http://schemas.microsoft.com/office/2006/metadata/properties" ma:root="true" ma:fieldsID="913fadf627d5ec894718b3e82f9b8ebd" ns3:_="" ns4:_="">
    <xsd:import namespace="1ee5d240-6e5f-4c33-8a31-c7b934aeb4a2"/>
    <xsd:import namespace="a1285d44-286f-4797-a521-3e7cc08c51c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5d240-6e5f-4c33-8a31-c7b934aeb4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285d44-286f-4797-a521-3e7cc08c51c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E8A832-579E-4729-9251-EF346F9A2D65}">
  <ds:schemaRefs>
    <ds:schemaRef ds:uri="http://schemas.microsoft.com/sharepoint/v3/contenttype/forms"/>
  </ds:schemaRefs>
</ds:datastoreItem>
</file>

<file path=customXml/itemProps2.xml><?xml version="1.0" encoding="utf-8"?>
<ds:datastoreItem xmlns:ds="http://schemas.openxmlformats.org/officeDocument/2006/customXml" ds:itemID="{7813E6F3-56FC-445C-B108-47D759088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5d240-6e5f-4c33-8a31-c7b934aeb4a2"/>
    <ds:schemaRef ds:uri="a1285d44-286f-4797-a521-3e7cc08c5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AB3F7A-1A2A-407B-AC9A-143F8888A17E}">
  <ds:schemaRefs>
    <ds:schemaRef ds:uri="1ee5d240-6e5f-4c33-8a31-c7b934aeb4a2"/>
    <ds:schemaRef ds:uri="http://schemas.microsoft.com/office/2006/documentManagement/types"/>
    <ds:schemaRef ds:uri="http://purl.org/dc/terms/"/>
    <ds:schemaRef ds:uri="http://schemas.openxmlformats.org/package/2006/metadata/core-properties"/>
    <ds:schemaRef ds:uri="a1285d44-286f-4797-a521-3e7cc08c51ce"/>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Manager/>
  <Company>Corrections Standards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Lwin, Adam@BSCC</cp:lastModifiedBy>
  <cp:revision/>
  <dcterms:created xsi:type="dcterms:W3CDTF">2010-06-09T19:05:00Z</dcterms:created>
  <dcterms:modified xsi:type="dcterms:W3CDTF">2020-10-26T21:49:05Z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0x0101004BF3D69F89FB7449B4DE21B8E71C5AF5</vt:lpwstr>
  </property>
</Properties>
</file>