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codeName="ThisWorkbook" defaultThemeVersion="124226"/>
  <mc:AlternateContent xmlns:mc="http://schemas.openxmlformats.org/markup-compatibility/2006">
    <mc:Choice Requires="x15">
      <x15ac:absPath xmlns:x15ac="http://schemas.microsoft.com/office/spreadsheetml/2010/11/ac" url="C:\Users\adam.lwin\Desktop\All Files\JJCPA Expenditure Reports\"/>
    </mc:Choice>
  </mc:AlternateContent>
  <xr:revisionPtr revIDLastSave="0" documentId="13_ncr:1_{BCE3F8BE-0BE2-4DE5-A87C-29369F887B16}" xr6:coauthVersionLast="40" xr6:coauthVersionMax="45" xr10:uidLastSave="{00000000-0000-0000-0000-000000000000}"/>
  <workbookProtection workbookAlgorithmName="SHA-512" workbookHashValue="2LI5/G5EvKrM0FkB5ZSBV0lTwLGn0nFQ9BiPpsL4AtxJaNwxRWYfwE0dmvuEqTsc9z7nT2aBHmMrDLK/uUmJAw==" workbookSaltValue="TGQaUh8EholbXLbuNS3fmQ==" workbookSpinCount="100000" lockStructure="1"/>
  <bookViews>
    <workbookView xWindow="-108" yWindow="-108" windowWidth="19416" windowHeight="10416" tabRatio="876" xr2:uid="{00000000-000D-0000-FFFF-FFFF00000000}"/>
  </bookViews>
  <sheets>
    <sheet name="CONTACT INFORMATION" sheetId="1" r:id="rId1"/>
    <sheet name="REPORT 1" sheetId="36" r:id="rId2"/>
    <sheet name="REPORT 3" sheetId="37" r:id="rId3"/>
    <sheet name="ARREST REPORT" sheetId="43" r:id="rId4"/>
    <sheet name="TREND ANALYSIS" sheetId="39" r:id="rId5"/>
    <sheet name="EXPENDITURE DETAILS" sheetId="7" r:id="rId6"/>
    <sheet name="Add'l EXPENDITURE DETAILS" sheetId="44" r:id="rId7"/>
    <sheet name="BSCC USE ONLY REPORT TOTALS " sheetId="38" state="hidden" r:id="rId8"/>
    <sheet name="Drop Down List for Exp Cats" sheetId="40" state="hidden" r:id="rId9"/>
    <sheet name="YOBG-FUNDED ASSESSMENTS" sheetId="29" state="hidden" r:id="rId10"/>
    <sheet name="STRATEGY FOR REALIGNED YOUTH" sheetId="28" state="hidden" r:id="rId11"/>
    <sheet name="OTHER" sheetId="27" state="hidden" r:id="rId12"/>
    <sheet name="Data" sheetId="8" state="hidden" r:id="rId13"/>
    <sheet name="Data2" sheetId="31" state="hidden" r:id="rId14"/>
    <sheet name="Data3" sheetId="30" state="hidden" r:id="rId15"/>
    <sheet name="tables" sheetId="3" state="hidden" r:id="rId16"/>
    <sheet name="ImportData" sheetId="33" state="hidden" r:id="rId17"/>
    <sheet name="ImportData2" sheetId="34" state="hidden" r:id="rId18"/>
    <sheet name="ImportData3" sheetId="35" state="hidden" r:id="rId19"/>
  </sheets>
  <definedNames>
    <definedName name="_Tot1">'EXPENDITURE DETAILS'!$E$142</definedName>
    <definedName name="Address">'CONTACT INFORMATION'!#REF!</definedName>
    <definedName name="Address2">'CONTACT INFORMATION'!#REF!</definedName>
    <definedName name="asi">'YOBG-FUNDED ASSESSMENTS'!$I$8</definedName>
    <definedName name="bot">'YOBG-FUNDED ASSESSMENTS'!$I$9</definedName>
    <definedName name="Chief">'CONTACT INFORMATION'!#REF!</definedName>
    <definedName name="Chief2">'CONTACT INFORMATION'!#REF!</definedName>
    <definedName name="Chiefemail">'CONTACT INFORMATION'!#REF!</definedName>
    <definedName name="Chiefemail2">'CONTACT INFORMATION'!#REF!</definedName>
    <definedName name="Chieffax">'CONTACT INFORMATION'!#REF!</definedName>
    <definedName name="Chiefphone">'CONTACT INFORMATION'!#REF!</definedName>
    <definedName name="Chiefphone2">'CONTACT INFORMATION'!#REF!</definedName>
    <definedName name="City">'CONTACT INFORMATION'!#REF!</definedName>
    <definedName name="City2">'CONTACT INFORMATION'!#REF!</definedName>
    <definedName name="Click_on_the_box_to_enter_or_edit_your_response.">#REF!</definedName>
    <definedName name="COMPAS">'YOBG-FUNDED ASSESSMENTS'!$I$10</definedName>
    <definedName name="coord1">OTHER!$I$6</definedName>
    <definedName name="coord2">OTHER!$I$7</definedName>
    <definedName name="coordnar">OTHER!$A$9</definedName>
    <definedName name="Counties">tables!$D$1:$D$58</definedName>
    <definedName name="County">'CONTACT INFORMATION'!$A$24</definedName>
    <definedName name="descrepancies">#REF!</definedName>
    <definedName name="discexpl">#REF!</definedName>
    <definedName name="discrep">#REF!</definedName>
    <definedName name="discrepancy">#REF!</definedName>
    <definedName name="Expcat">tables!$B$1:$B$52</definedName>
    <definedName name="Expenditures">'Drop Down List for Exp Cats'!$A$1:$A$50</definedName>
    <definedName name="fy0708all">#REF!</definedName>
    <definedName name="fy0809all">#REF!</definedName>
    <definedName name="fy0910all">#REF!</definedName>
    <definedName name="fy1011all">#REF!</definedName>
    <definedName name="fy1112all">#REF!</definedName>
    <definedName name="fy1213all">#REF!</definedName>
    <definedName name="fy1314all">#REF!</definedName>
    <definedName name="Instructions">#REF!</definedName>
    <definedName name="JAIS">'YOBG-FUNDED ASSESSMENTS'!$I$11</definedName>
    <definedName name="JJCPAt1">#REF!</definedName>
    <definedName name="JJCPAt10">#REF!</definedName>
    <definedName name="JJCPAt2">#REF!</definedName>
    <definedName name="JJCPAt3">#REF!</definedName>
    <definedName name="JJCPAt4">#REF!</definedName>
    <definedName name="JJCPAt5">#REF!</definedName>
    <definedName name="JJCPAt6">#REF!</definedName>
    <definedName name="JJCPAt7">#REF!</definedName>
    <definedName name="JJCPAt8">#REF!</definedName>
    <definedName name="JJCPAt9">#REF!</definedName>
    <definedName name="LSIR">'YOBG-FUNDED ASSESSMENTS'!$I$12</definedName>
    <definedName name="MAYSI">'YOBG-FUNDED ASSESSMENTS'!$I$14</definedName>
    <definedName name="MAYSI2">'YOBG-FUNDED ASSESSMENTS'!$I$13</definedName>
    <definedName name="name">'CONTACT INFORMATION'!#REF!</definedName>
    <definedName name="NIC">'YOBG-FUNDED ASSESSMENTS'!$I$15</definedName>
    <definedName name="Numcodet1">#REF!</definedName>
    <definedName name="Numcodet10">#REF!</definedName>
    <definedName name="Numcodet2">#REF!</definedName>
    <definedName name="Numcodet3">#REF!</definedName>
    <definedName name="Numcodet4">#REF!</definedName>
    <definedName name="Numcodet5">#REF!</definedName>
    <definedName name="Numcodet6">#REF!</definedName>
    <definedName name="Numcodet7">#REF!</definedName>
    <definedName name="Numcodet8">#REF!</definedName>
    <definedName name="Numcodet9">#REF!</definedName>
    <definedName name="Numealtt1">'EXPENDITURE DETAILS'!#REF!</definedName>
    <definedName name="Numealtt10">'EXPENDITURE DETAILS'!#REF!</definedName>
    <definedName name="Numealtt2">'EXPENDITURE DETAILS'!#REF!</definedName>
    <definedName name="Numealtt3">'EXPENDITURE DETAILS'!#REF!</definedName>
    <definedName name="Numealtt4">'EXPENDITURE DETAILS'!#REF!</definedName>
    <definedName name="Numealtt5">'EXPENDITURE DETAILS'!#REF!</definedName>
    <definedName name="Numealtt6">'EXPENDITURE DETAILS'!#REF!</definedName>
    <definedName name="Numealtt7">'EXPENDITURE DETAILS'!#REF!</definedName>
    <definedName name="Numealtt8">'EXPENDITURE DETAILS'!#REF!</definedName>
    <definedName name="Numealtt9">'EXPENDITURE DETAILS'!#REF!</definedName>
    <definedName name="Numecodet1">#REF!</definedName>
    <definedName name="Numecodet10">#REF!</definedName>
    <definedName name="Numecodet2">#REF!</definedName>
    <definedName name="Numecodet3">#REF!</definedName>
    <definedName name="Numecodet4">#REF!</definedName>
    <definedName name="Numecodet5">#REF!</definedName>
    <definedName name="Numecodet6">#REF!</definedName>
    <definedName name="Numecodet7">#REF!</definedName>
    <definedName name="Numecodet8">#REF!</definedName>
    <definedName name="Numecodet9">#REF!</definedName>
    <definedName name="Othert1">#REF!</definedName>
    <definedName name="Othert10">#REF!</definedName>
    <definedName name="Othert2">#REF!</definedName>
    <definedName name="Othert3">#REF!</definedName>
    <definedName name="Othert4">#REF!</definedName>
    <definedName name="Othert5">#REF!</definedName>
    <definedName name="Othert6">#REF!</definedName>
    <definedName name="Othert7">#REF!</definedName>
    <definedName name="Othert8">#REF!</definedName>
    <definedName name="Othert9">#REF!</definedName>
    <definedName name="othrassess1">'YOBG-FUNDED ASSESSMENTS'!$I$19</definedName>
    <definedName name="othrassess2">'YOBG-FUNDED ASSESSMENTS'!$I$20</definedName>
    <definedName name="othrassess3">'YOBG-FUNDED ASSESSMENTS'!$I$21</definedName>
    <definedName name="othrassess4">'YOBG-FUNDED ASSESSMENTS'!$I$22</definedName>
    <definedName name="othrassessmentname1">'YOBG-FUNDED ASSESSMENTS'!$C$19</definedName>
    <definedName name="othrassessmentname2">'YOBG-FUNDED ASSESSMENTS'!$C$20</definedName>
    <definedName name="othrassessmentname3">'YOBG-FUNDED ASSESSMENTS'!$C$21</definedName>
    <definedName name="othrassessmentname4">'YOBG-FUNDED ASSESSMENTS'!$C$22</definedName>
    <definedName name="PACT">'YOBG-FUNDED ASSESSMENTS'!$I$16</definedName>
    <definedName name="preemail">'CONTACT INFORMATION'!$D$29</definedName>
    <definedName name="Preparer">'CONTACT INFORMATION'!#REF!</definedName>
    <definedName name="Prepemail">'CONTACT INFORMATION'!$G$29</definedName>
    <definedName name="prepfax">'CONTACT INFORMATION'!$D$29</definedName>
    <definedName name="Preptitle">'CONTACT INFORMATION'!#REF!</definedName>
    <definedName name="primarytitle">'CONTACT INFORMATION'!$F$27</definedName>
    <definedName name="primcontact">'CONTACT INFORMATION'!$A$27</definedName>
    <definedName name="primemail">'CONTACT INFORMATION'!$D$29</definedName>
    <definedName name="primphone">'CONTACT INFORMATION'!$A$29</definedName>
    <definedName name="_xlnm.Print_Area" localSheetId="6">'Add''l EXPENDITURE DETAILS'!$A$1:$J$815</definedName>
    <definedName name="_xlnm.Print_Area" localSheetId="3">'ARREST REPORT'!$A$1:$I$50</definedName>
    <definedName name="_xlnm.Print_Area" localSheetId="7">'BSCC USE ONLY REPORT TOTALS '!$A$1:$K$32</definedName>
    <definedName name="_xlnm.Print_Area" localSheetId="0">'CONTACT INFORMATION'!$A$1:$J$53</definedName>
    <definedName name="_xlnm.Print_Area" localSheetId="1">'REPORT 1'!$A$1:$O$48</definedName>
    <definedName name="_xlnm.Print_Area" localSheetId="2">'REPORT 3'!$A$1:$O$56</definedName>
    <definedName name="_xlnm.Print_Area" localSheetId="4">'TREND ANALYSIS'!$A$1:$J$57</definedName>
    <definedName name="regional">OTHER!$A$29</definedName>
    <definedName name="Reportdate">'CONTACT INFORMATION'!$F$24</definedName>
    <definedName name="RRC">'YOBG-FUNDED ASSESSMENTS'!$I$17</definedName>
    <definedName name="seccontact">'CONTACT INFORMATION'!$A$32</definedName>
    <definedName name="seccontitle">'CONTACT INFORMATION'!$F$32</definedName>
    <definedName name="secemail">'CONTACT INFORMATION'!$D$34</definedName>
    <definedName name="secphone">'CONTACT INFORMATION'!$A$34</definedName>
    <definedName name="stratdf">'STRATEGY FOR REALIGNED YOUTH'!$A$27</definedName>
    <definedName name="stratdif">'STRATEGY FOR REALIGNED YOUTH'!$A$27</definedName>
    <definedName name="strategy">'STRATEGY FOR REALIGNED YOUTH'!$H$7</definedName>
    <definedName name="stratnar">'STRATEGY FOR REALIGNED YOUTH'!$A$10</definedName>
    <definedName name="stratplan">'STRATEGY FOR REALIGNED YOUTH'!$A$41</definedName>
    <definedName name="t10barrier">'EXPENDITURE DETAILS'!#REF!</definedName>
    <definedName name="t10cap">'EXPENDITURE DETAILS'!#REF!</definedName>
    <definedName name="t10casecount">'EXPENDITURE DETAILS'!#REF!</definedName>
    <definedName name="t10ebp">'EXPENDITURE DETAILS'!#REF!</definedName>
    <definedName name="t10funds">'EXPENDITURE DETAILS'!#REF!</definedName>
    <definedName name="t10goal">'EXPENDITURE DETAILS'!#REF!</definedName>
    <definedName name="t10jjcpaadmin">'EXPENDITURE DETAILS'!#REF!</definedName>
    <definedName name="t10jjcpacbo">'EXPENDITURE DETAILS'!#REF!</definedName>
    <definedName name="t10jjcpaequip">'EXPENDITURE DETAILS'!#REF!</definedName>
    <definedName name="t10jjcpaothr1">'EXPENDITURE DETAILS'!#REF!</definedName>
    <definedName name="t10jjcpaothr2">'EXPENDITURE DETAILS'!#REF!</definedName>
    <definedName name="t10jjcpaothr3">'EXPENDITURE DETAILS'!#REF!</definedName>
    <definedName name="t10jjcpaprof">'EXPENDITURE DETAILS'!#REF!</definedName>
    <definedName name="t10jjcpasal">'EXPENDITURE DETAILS'!#REF!</definedName>
    <definedName name="t10jjcpaserv">'EXPENDITURE DETAILS'!#REF!</definedName>
    <definedName name="t10jjcpatot">'EXPENDITURE DETAILS'!#REF!</definedName>
    <definedName name="t10location">'EXPENDITURE DETAILS'!#REF!</definedName>
    <definedName name="t10nar">'EXPENDITURE DETAILS'!#REF!</definedName>
    <definedName name="t10numcode">'EXPENDITURE DETAILS'!#REF!</definedName>
    <definedName name="t10other1">'EXPENDITURE DETAILS'!#REF!</definedName>
    <definedName name="t10other2">'EXPENDITURE DETAILS'!#REF!</definedName>
    <definedName name="t10other3">'EXPENDITURE DETAILS'!#REF!</definedName>
    <definedName name="t10otheradmin">'EXPENDITURE DETAILS'!#REF!</definedName>
    <definedName name="t10othercbo">'EXPENDITURE DETAILS'!#REF!</definedName>
    <definedName name="t10otherequip">'EXPENDITURE DETAILS'!#REF!</definedName>
    <definedName name="t10otherothr1">'EXPENDITURE DETAILS'!#REF!</definedName>
    <definedName name="t10otherothr2">'EXPENDITURE DETAILS'!#REF!</definedName>
    <definedName name="t10otherothr3">'EXPENDITURE DETAILS'!#REF!</definedName>
    <definedName name="t10otherprof">'EXPENDITURE DETAILS'!#REF!</definedName>
    <definedName name="t10othersal">'EXPENDITURE DETAILS'!#REF!</definedName>
    <definedName name="t10otherserv">'EXPENDITURE DETAILS'!#REF!</definedName>
    <definedName name="t10othertot">'EXPENDITURE DETAILS'!#REF!</definedName>
    <definedName name="t10progname">'EXPENDITURE DETAILS'!#REF!</definedName>
    <definedName name="t10prognamealt">'EXPENDITURE DETAILS'!#REF!</definedName>
    <definedName name="t10totpercap">'EXPENDITURE DETAILS'!#REF!</definedName>
    <definedName name="t10yobgadmin">'EXPENDITURE DETAILS'!#REF!</definedName>
    <definedName name="t10yobgcbo">'EXPENDITURE DETAILS'!#REF!</definedName>
    <definedName name="t10yobgequip">'EXPENDITURE DETAILS'!#REF!</definedName>
    <definedName name="t10yobgothr1">'EXPENDITURE DETAILS'!#REF!</definedName>
    <definedName name="t10yobgothr2">'EXPENDITURE DETAILS'!#REF!</definedName>
    <definedName name="t10yobgothr3">'EXPENDITURE DETAILS'!#REF!</definedName>
    <definedName name="t10yobgpercap">'EXPENDITURE DETAILS'!#REF!</definedName>
    <definedName name="t10yobgprof">'EXPENDITURE DETAILS'!#REF!</definedName>
    <definedName name="t10yobgsal">'EXPENDITURE DETAILS'!#REF!</definedName>
    <definedName name="t10yobgserv">'EXPENDITURE DETAILS'!#REF!</definedName>
    <definedName name="t10yobgtot">'EXPENDITURE DETAILS'!#REF!</definedName>
    <definedName name="t10youth1">'EXPENDITURE DETAILS'!#REF!</definedName>
    <definedName name="t10youth2">'EXPENDITURE DETAILS'!#REF!</definedName>
    <definedName name="t10youth3">'EXPENDITURE DETAILS'!#REF!</definedName>
    <definedName name="t10youth4">'EXPENDITURE DETAILS'!#REF!</definedName>
    <definedName name="t10youth5">'EXPENDITURE DETAILS'!#REF!</definedName>
    <definedName name="t10youth6">'EXPENDITURE DETAILS'!#REF!</definedName>
    <definedName name="t1barrier">'EXPENDITURE DETAILS'!#REF!</definedName>
    <definedName name="t1cap">'EXPENDITURE DETAILS'!#REF!</definedName>
    <definedName name="t1casecount">'EXPENDITURE DETAILS'!#REF!</definedName>
    <definedName name="t1desciption">'EXPENDITURE DETAILS'!#REF!</definedName>
    <definedName name="t1description">'EXPENDITURE DETAILS'!#REF!</definedName>
    <definedName name="t1ebp">'EXPENDITURE DETAILS'!#REF!</definedName>
    <definedName name="t1funds">'EXPENDITURE DETAILS'!#REF!</definedName>
    <definedName name="t1goal">'EXPENDITURE DETAILS'!#REF!</definedName>
    <definedName name="t1jjcpaadmin">'EXPENDITURE DETAILS'!$G$137</definedName>
    <definedName name="t1jjcpacbo">'EXPENDITURE DETAILS'!$G$135</definedName>
    <definedName name="t1jjcpaequip">'EXPENDITURE DETAILS'!$G$136</definedName>
    <definedName name="t1jjcpaothr1">'EXPENDITURE DETAILS'!$G$139</definedName>
    <definedName name="t1jjcpaothr2">'EXPENDITURE DETAILS'!$G$140</definedName>
    <definedName name="t1jjcpaothr3">'EXPENDITURE DETAILS'!$G$141</definedName>
    <definedName name="t1jjcpaprof">'EXPENDITURE DETAILS'!$G$134</definedName>
    <definedName name="t1jjcpasal">'EXPENDITURE DETAILS'!$G$132</definedName>
    <definedName name="t1jjcpaserv">'EXPENDITURE DETAILS'!$G$133</definedName>
    <definedName name="t1jjcpatot">'EXPENDITURE DETAILS'!$G$142</definedName>
    <definedName name="t1location">'EXPENDITURE DETAILS'!#REF!</definedName>
    <definedName name="t1nar">'EXPENDITURE DETAILS'!#REF!</definedName>
    <definedName name="t1numcode">'EXPENDITURE DETAILS'!$G$128</definedName>
    <definedName name="t1other1">'EXPENDITURE DETAILS'!$A$139</definedName>
    <definedName name="t1other2">'EXPENDITURE DETAILS'!$A$140</definedName>
    <definedName name="t1other3">'EXPENDITURE DETAILS'!$A$141</definedName>
    <definedName name="t1otheradmin">'EXPENDITURE DETAILS'!$I$137</definedName>
    <definedName name="t1othercbo">'EXPENDITURE DETAILS'!$I$135</definedName>
    <definedName name="t1otherequip">'EXPENDITURE DETAILS'!$I$136</definedName>
    <definedName name="t1otherothr1">'EXPENDITURE DETAILS'!$I$139</definedName>
    <definedName name="t1otherothr2">'EXPENDITURE DETAILS'!$I$140</definedName>
    <definedName name="t1otherothr3">'EXPENDITURE DETAILS'!$I$141</definedName>
    <definedName name="t1otherprof">'EXPENDITURE DETAILS'!$I$134</definedName>
    <definedName name="t1othersal">'EXPENDITURE DETAILS'!$I$132</definedName>
    <definedName name="t1otherserv">'EXPENDITURE DETAILS'!$I$133</definedName>
    <definedName name="t1othertot">'EXPENDITURE DETAILS'!$I$142</definedName>
    <definedName name="t1progname">'EXPENDITURE DETAILS'!#REF!</definedName>
    <definedName name="t1prognamealt">'EXPENDITURE DETAILS'!#REF!</definedName>
    <definedName name="t1totpercap">'EXPENDITURE DETAILS'!#REF!</definedName>
    <definedName name="t1yobgadmin">'EXPENDITURE DETAILS'!$E$137</definedName>
    <definedName name="t1yobgcbo">'EXPENDITURE DETAILS'!$E$135</definedName>
    <definedName name="t1yobgequip">'EXPENDITURE DETAILS'!$E$136</definedName>
    <definedName name="t1yobgothr1">'EXPENDITURE DETAILS'!$E$139</definedName>
    <definedName name="t1yobgothr2">'EXPENDITURE DETAILS'!$E$140</definedName>
    <definedName name="t1yobgothr3">'EXPENDITURE DETAILS'!$E$141</definedName>
    <definedName name="t1yobgpercap">'EXPENDITURE DETAILS'!#REF!</definedName>
    <definedName name="t1yobgprof">'EXPENDITURE DETAILS'!$E$134</definedName>
    <definedName name="t1yobgsal">'EXPENDITURE DETAILS'!$E$132</definedName>
    <definedName name="t1yobgserv">'EXPENDITURE DETAILS'!$E$133</definedName>
    <definedName name="t1yobgtot">'EXPENDITURE DETAILS'!$E$142</definedName>
    <definedName name="t1youth1">'EXPENDITURE DETAILS'!#REF!</definedName>
    <definedName name="t1youth2">'EXPENDITURE DETAILS'!#REF!</definedName>
    <definedName name="t1youth3">'EXPENDITURE DETAILS'!#REF!</definedName>
    <definedName name="t1youth4">'EXPENDITURE DETAILS'!#REF!</definedName>
    <definedName name="t1youth5">'EXPENDITURE DETAILS'!#REF!</definedName>
    <definedName name="t1youth6">'EXPENDITURE DETAILS'!#REF!</definedName>
    <definedName name="t2barrier">'EXPENDITURE DETAILS'!#REF!</definedName>
    <definedName name="t2cap">'EXPENDITURE DETAILS'!#REF!</definedName>
    <definedName name="t2casecount">'EXPENDITURE DETAILS'!#REF!</definedName>
    <definedName name="t2ebp">'EXPENDITURE DETAILS'!#REF!</definedName>
    <definedName name="t2funds">'EXPENDITURE DETAILS'!#REF!</definedName>
    <definedName name="t2goal">'EXPENDITURE DETAILS'!#REF!</definedName>
    <definedName name="t2jjcpaadmin">'EXPENDITURE DETAILS'!#REF!</definedName>
    <definedName name="t2jjcpacbo">'EXPENDITURE DETAILS'!#REF!</definedName>
    <definedName name="t2jjcpaequip">'EXPENDITURE DETAILS'!#REF!</definedName>
    <definedName name="t2jjcpaothr1">'EXPENDITURE DETAILS'!#REF!</definedName>
    <definedName name="t2jjcpaothr2">'EXPENDITURE DETAILS'!#REF!</definedName>
    <definedName name="t2jjcpaothr3">'EXPENDITURE DETAILS'!#REF!</definedName>
    <definedName name="t2jjcpaprof">'EXPENDITURE DETAILS'!#REF!</definedName>
    <definedName name="t2jjcpasal">'EXPENDITURE DETAILS'!#REF!</definedName>
    <definedName name="t2jjcpaserv">'EXPENDITURE DETAILS'!#REF!</definedName>
    <definedName name="t2jjcpatot">'EXPENDITURE DETAILS'!#REF!</definedName>
    <definedName name="t2location">'EXPENDITURE DETAILS'!#REF!</definedName>
    <definedName name="t2nar">'EXPENDITURE DETAILS'!#REF!</definedName>
    <definedName name="t2numcode">'EXPENDITURE DETAILS'!#REF!</definedName>
    <definedName name="t2other1">'EXPENDITURE DETAILS'!#REF!</definedName>
    <definedName name="t2other2">'EXPENDITURE DETAILS'!#REF!</definedName>
    <definedName name="t2other3">'EXPENDITURE DETAILS'!#REF!</definedName>
    <definedName name="t2otheradmin">'EXPENDITURE DETAILS'!#REF!</definedName>
    <definedName name="t2othercbo">'EXPENDITURE DETAILS'!#REF!</definedName>
    <definedName name="t2otherequip">'EXPENDITURE DETAILS'!#REF!</definedName>
    <definedName name="t2otherothr1">'EXPENDITURE DETAILS'!#REF!</definedName>
    <definedName name="t2otherothr2">'EXPENDITURE DETAILS'!#REF!</definedName>
    <definedName name="t2otherothr3">'EXPENDITURE DETAILS'!#REF!</definedName>
    <definedName name="t2otherprof">'EXPENDITURE DETAILS'!#REF!</definedName>
    <definedName name="t2othersal">'EXPENDITURE DETAILS'!#REF!</definedName>
    <definedName name="t2otherserv">'EXPENDITURE DETAILS'!#REF!</definedName>
    <definedName name="t2othertot">'EXPENDITURE DETAILS'!#REF!</definedName>
    <definedName name="t2progname">'EXPENDITURE DETAILS'!#REF!</definedName>
    <definedName name="t2prognamealt">'EXPENDITURE DETAILS'!#REF!</definedName>
    <definedName name="t2totpercap">'EXPENDITURE DETAILS'!#REF!</definedName>
    <definedName name="t2yobgadmin">'EXPENDITURE DETAILS'!#REF!</definedName>
    <definedName name="t2yobgcbo">'EXPENDITURE DETAILS'!#REF!</definedName>
    <definedName name="t2yobgequip">'EXPENDITURE DETAILS'!#REF!</definedName>
    <definedName name="t2yobgothr1">'EXPENDITURE DETAILS'!#REF!</definedName>
    <definedName name="t2yobgothr2">'EXPENDITURE DETAILS'!#REF!</definedName>
    <definedName name="t2yobgothr3">'EXPENDITURE DETAILS'!#REF!</definedName>
    <definedName name="t2yobgpercap">'EXPENDITURE DETAILS'!#REF!</definedName>
    <definedName name="t2yobgprof">'EXPENDITURE DETAILS'!#REF!</definedName>
    <definedName name="t2yobgsal">'EXPENDITURE DETAILS'!#REF!</definedName>
    <definedName name="t2yobgserv">'EXPENDITURE DETAILS'!#REF!</definedName>
    <definedName name="t2yobgtot">'EXPENDITURE DETAILS'!#REF!</definedName>
    <definedName name="t2youth1">'EXPENDITURE DETAILS'!#REF!</definedName>
    <definedName name="t2youth2">'EXPENDITURE DETAILS'!#REF!</definedName>
    <definedName name="t2youth3">'EXPENDITURE DETAILS'!#REF!</definedName>
    <definedName name="t2youth4">'EXPENDITURE DETAILS'!#REF!</definedName>
    <definedName name="t2youth5">'EXPENDITURE DETAILS'!#REF!</definedName>
    <definedName name="t2youth6">'EXPENDITURE DETAILS'!#REF!</definedName>
    <definedName name="t3barrier">'EXPENDITURE DETAILS'!#REF!</definedName>
    <definedName name="t3cap">'EXPENDITURE DETAILS'!#REF!</definedName>
    <definedName name="t3casecount">'EXPENDITURE DETAILS'!#REF!</definedName>
    <definedName name="t3ebp">'EXPENDITURE DETAILS'!#REF!</definedName>
    <definedName name="t3funds">'EXPENDITURE DETAILS'!#REF!</definedName>
    <definedName name="t3goal">'EXPENDITURE DETAILS'!#REF!</definedName>
    <definedName name="t3jjcpaadmin">'EXPENDITURE DETAILS'!#REF!</definedName>
    <definedName name="t3jjcpacbo">'EXPENDITURE DETAILS'!#REF!</definedName>
    <definedName name="t3jjcpaequip">'EXPENDITURE DETAILS'!#REF!</definedName>
    <definedName name="t3jjcpaothr1">'EXPENDITURE DETAILS'!#REF!</definedName>
    <definedName name="t3jjcpaothr2">'EXPENDITURE DETAILS'!#REF!</definedName>
    <definedName name="t3jjcpaothr3">'EXPENDITURE DETAILS'!#REF!</definedName>
    <definedName name="t3jjcpaprof">'EXPENDITURE DETAILS'!#REF!</definedName>
    <definedName name="t3jjcpasal">'EXPENDITURE DETAILS'!#REF!</definedName>
    <definedName name="t3jjcpaserv">'EXPENDITURE DETAILS'!#REF!</definedName>
    <definedName name="t3jjcpatot">'EXPENDITURE DETAILS'!#REF!</definedName>
    <definedName name="t3location">'EXPENDITURE DETAILS'!#REF!</definedName>
    <definedName name="t3nar">'EXPENDITURE DETAILS'!#REF!</definedName>
    <definedName name="t3numcode">'EXPENDITURE DETAILS'!#REF!</definedName>
    <definedName name="t3other1">'EXPENDITURE DETAILS'!#REF!</definedName>
    <definedName name="t3other2">'EXPENDITURE DETAILS'!#REF!</definedName>
    <definedName name="t3other3">'EXPENDITURE DETAILS'!#REF!</definedName>
    <definedName name="t3otheradmin">'EXPENDITURE DETAILS'!#REF!</definedName>
    <definedName name="t3othercbo">'EXPENDITURE DETAILS'!#REF!</definedName>
    <definedName name="t3otherequip">'EXPENDITURE DETAILS'!#REF!</definedName>
    <definedName name="t3otherothr1">'EXPENDITURE DETAILS'!#REF!</definedName>
    <definedName name="t3otherothr2">'EXPENDITURE DETAILS'!#REF!</definedName>
    <definedName name="t3otherothr3">'EXPENDITURE DETAILS'!#REF!</definedName>
    <definedName name="t3otherprof">'EXPENDITURE DETAILS'!#REF!</definedName>
    <definedName name="t3othersal">'EXPENDITURE DETAILS'!#REF!</definedName>
    <definedName name="t3otherserv">'EXPENDITURE DETAILS'!#REF!</definedName>
    <definedName name="t3othertot">'EXPENDITURE DETAILS'!#REF!</definedName>
    <definedName name="t3progname">'EXPENDITURE DETAILS'!#REF!</definedName>
    <definedName name="t3prognamealt">'EXPENDITURE DETAILS'!#REF!</definedName>
    <definedName name="t3totpercap">'EXPENDITURE DETAILS'!#REF!</definedName>
    <definedName name="t3yobgadmin">'EXPENDITURE DETAILS'!#REF!</definedName>
    <definedName name="t3yobgcbo">'EXPENDITURE DETAILS'!#REF!</definedName>
    <definedName name="t3yobgequip">'EXPENDITURE DETAILS'!#REF!</definedName>
    <definedName name="t3yobgothr1">'EXPENDITURE DETAILS'!#REF!</definedName>
    <definedName name="t3yobgothr2">'EXPENDITURE DETAILS'!#REF!</definedName>
    <definedName name="t3yobgothr3">'EXPENDITURE DETAILS'!#REF!</definedName>
    <definedName name="t3yobgpercap">'EXPENDITURE DETAILS'!#REF!</definedName>
    <definedName name="t3yobgprof">'EXPENDITURE DETAILS'!#REF!</definedName>
    <definedName name="t3yobgsal">'EXPENDITURE DETAILS'!#REF!</definedName>
    <definedName name="t3yobgserv">'EXPENDITURE DETAILS'!#REF!</definedName>
    <definedName name="t3yobgtot">'EXPENDITURE DETAILS'!#REF!</definedName>
    <definedName name="t3youth1">'EXPENDITURE DETAILS'!#REF!</definedName>
    <definedName name="t3youth2">'EXPENDITURE DETAILS'!#REF!</definedName>
    <definedName name="t3youth3">'EXPENDITURE DETAILS'!#REF!</definedName>
    <definedName name="t3youth4">'EXPENDITURE DETAILS'!#REF!</definedName>
    <definedName name="t3youth5">'EXPENDITURE DETAILS'!#REF!</definedName>
    <definedName name="t3youth6">'EXPENDITURE DETAILS'!#REF!</definedName>
    <definedName name="t4barrier">'EXPENDITURE DETAILS'!#REF!</definedName>
    <definedName name="t4cap">'EXPENDITURE DETAILS'!#REF!</definedName>
    <definedName name="t4casecount">'EXPENDITURE DETAILS'!#REF!</definedName>
    <definedName name="t4ebp">'EXPENDITURE DETAILS'!#REF!</definedName>
    <definedName name="t4funds">'EXPENDITURE DETAILS'!#REF!</definedName>
    <definedName name="t4goal">'EXPENDITURE DETAILS'!#REF!</definedName>
    <definedName name="t4jjcpaadmin">'EXPENDITURE DETAILS'!#REF!</definedName>
    <definedName name="t4jjcpacbo">'EXPENDITURE DETAILS'!#REF!</definedName>
    <definedName name="t4jjcpaequip">'EXPENDITURE DETAILS'!#REF!</definedName>
    <definedName name="t4jjcpaothr1">'EXPENDITURE DETAILS'!#REF!</definedName>
    <definedName name="t4jjcpaothr2">'EXPENDITURE DETAILS'!#REF!</definedName>
    <definedName name="t4jjcpaothr3">'EXPENDITURE DETAILS'!#REF!</definedName>
    <definedName name="t4jjcpaprof">'EXPENDITURE DETAILS'!#REF!</definedName>
    <definedName name="t4jjcpasal">'EXPENDITURE DETAILS'!#REF!</definedName>
    <definedName name="t4jjcpaserv">'EXPENDITURE DETAILS'!#REF!</definedName>
    <definedName name="t4jjcpatot">'EXPENDITURE DETAILS'!#REF!</definedName>
    <definedName name="t4location">'EXPENDITURE DETAILS'!#REF!</definedName>
    <definedName name="t4nar">'EXPENDITURE DETAILS'!#REF!</definedName>
    <definedName name="t4numcode">'EXPENDITURE DETAILS'!#REF!</definedName>
    <definedName name="t4other1">'EXPENDITURE DETAILS'!#REF!</definedName>
    <definedName name="t4other2">'EXPENDITURE DETAILS'!#REF!</definedName>
    <definedName name="t4other3">'EXPENDITURE DETAILS'!#REF!</definedName>
    <definedName name="t4otheradmin">'EXPENDITURE DETAILS'!#REF!</definedName>
    <definedName name="t4othercbo">'EXPENDITURE DETAILS'!#REF!</definedName>
    <definedName name="t4otherequip">'EXPENDITURE DETAILS'!#REF!</definedName>
    <definedName name="t4otherothr1">'EXPENDITURE DETAILS'!#REF!</definedName>
    <definedName name="t4otherothr2">'EXPENDITURE DETAILS'!#REF!</definedName>
    <definedName name="t4otherothr3">'EXPENDITURE DETAILS'!#REF!</definedName>
    <definedName name="t4otherprof">'EXPENDITURE DETAILS'!#REF!</definedName>
    <definedName name="t4othersal">'EXPENDITURE DETAILS'!#REF!</definedName>
    <definedName name="t4otherserv">'EXPENDITURE DETAILS'!#REF!</definedName>
    <definedName name="t4othertot">'EXPENDITURE DETAILS'!#REF!</definedName>
    <definedName name="t4progname">'EXPENDITURE DETAILS'!#REF!</definedName>
    <definedName name="t4prognamealt">'EXPENDITURE DETAILS'!#REF!</definedName>
    <definedName name="t4totpercap">'EXPENDITURE DETAILS'!#REF!</definedName>
    <definedName name="t4yobgadmin">'EXPENDITURE DETAILS'!#REF!</definedName>
    <definedName name="t4yobgcbo">'EXPENDITURE DETAILS'!#REF!</definedName>
    <definedName name="t4yobgequip">'EXPENDITURE DETAILS'!#REF!</definedName>
    <definedName name="t4yobgothr1">'EXPENDITURE DETAILS'!#REF!</definedName>
    <definedName name="t4yobgothr2">'EXPENDITURE DETAILS'!#REF!</definedName>
    <definedName name="t4yobgothr3">'EXPENDITURE DETAILS'!#REF!</definedName>
    <definedName name="t4yobgpercap">'EXPENDITURE DETAILS'!#REF!</definedName>
    <definedName name="t4yobgprof">'EXPENDITURE DETAILS'!#REF!</definedName>
    <definedName name="t4yobgsal">'EXPENDITURE DETAILS'!#REF!</definedName>
    <definedName name="t4yobgserv">'EXPENDITURE DETAILS'!#REF!</definedName>
    <definedName name="t4yobgtot">'EXPENDITURE DETAILS'!#REF!</definedName>
    <definedName name="t4youth1">'EXPENDITURE DETAILS'!#REF!</definedName>
    <definedName name="t4youth2">'EXPENDITURE DETAILS'!#REF!</definedName>
    <definedName name="t4youth3">'EXPENDITURE DETAILS'!#REF!</definedName>
    <definedName name="t4youth4">'EXPENDITURE DETAILS'!#REF!</definedName>
    <definedName name="t4youth5">'EXPENDITURE DETAILS'!#REF!</definedName>
    <definedName name="t4youth6">'EXPENDITURE DETAILS'!#REF!</definedName>
    <definedName name="t5barrier">'EXPENDITURE DETAILS'!#REF!</definedName>
    <definedName name="t5cap">'EXPENDITURE DETAILS'!#REF!</definedName>
    <definedName name="t5casecount">'EXPENDITURE DETAILS'!#REF!</definedName>
    <definedName name="t5ebp">'EXPENDITURE DETAILS'!#REF!</definedName>
    <definedName name="t5funds">'EXPENDITURE DETAILS'!#REF!</definedName>
    <definedName name="t5goal">'EXPENDITURE DETAILS'!#REF!</definedName>
    <definedName name="t5jjcpaadmin">'EXPENDITURE DETAILS'!#REF!</definedName>
    <definedName name="t5jjcpacbo">'EXPENDITURE DETAILS'!#REF!</definedName>
    <definedName name="t5jjcpaequip">'EXPENDITURE DETAILS'!#REF!</definedName>
    <definedName name="t5jjcpaothr1">'EXPENDITURE DETAILS'!#REF!</definedName>
    <definedName name="t5jjcpaothr2">'EXPENDITURE DETAILS'!#REF!</definedName>
    <definedName name="t5jjcpaothr3">'EXPENDITURE DETAILS'!#REF!</definedName>
    <definedName name="t5jjcpaprof">'EXPENDITURE DETAILS'!#REF!</definedName>
    <definedName name="t5jjcpasal">'EXPENDITURE DETAILS'!#REF!</definedName>
    <definedName name="t5jjcpaserv">'EXPENDITURE DETAILS'!#REF!</definedName>
    <definedName name="t5jjcpatot">'EXPENDITURE DETAILS'!#REF!</definedName>
    <definedName name="t5location">'EXPENDITURE DETAILS'!#REF!</definedName>
    <definedName name="t5nar">'EXPENDITURE DETAILS'!#REF!</definedName>
    <definedName name="t5numcode">'EXPENDITURE DETAILS'!#REF!</definedName>
    <definedName name="t5other1">'EXPENDITURE DETAILS'!#REF!</definedName>
    <definedName name="t5other2">'EXPENDITURE DETAILS'!#REF!</definedName>
    <definedName name="t5other3">'EXPENDITURE DETAILS'!#REF!</definedName>
    <definedName name="t5otheradmin">'EXPENDITURE DETAILS'!#REF!</definedName>
    <definedName name="t5othercbo">'EXPENDITURE DETAILS'!#REF!</definedName>
    <definedName name="t5otherequip">'EXPENDITURE DETAILS'!#REF!</definedName>
    <definedName name="t5otherothr1">'EXPENDITURE DETAILS'!#REF!</definedName>
    <definedName name="t5otherothr2">'EXPENDITURE DETAILS'!#REF!</definedName>
    <definedName name="t5otherothr3">'EXPENDITURE DETAILS'!#REF!</definedName>
    <definedName name="t5otherprof">'EXPENDITURE DETAILS'!#REF!</definedName>
    <definedName name="t5othersal">'EXPENDITURE DETAILS'!#REF!</definedName>
    <definedName name="t5otherserv">'EXPENDITURE DETAILS'!#REF!</definedName>
    <definedName name="t5othertot">'EXPENDITURE DETAILS'!#REF!</definedName>
    <definedName name="t5progname">'EXPENDITURE DETAILS'!#REF!</definedName>
    <definedName name="t5prognamealt">'EXPENDITURE DETAILS'!#REF!</definedName>
    <definedName name="t5totpercap">'EXPENDITURE DETAILS'!#REF!</definedName>
    <definedName name="t5yobgadmin">'EXPENDITURE DETAILS'!#REF!</definedName>
    <definedName name="t5yobgcbo">'EXPENDITURE DETAILS'!#REF!</definedName>
    <definedName name="t5yobgequip">'EXPENDITURE DETAILS'!#REF!</definedName>
    <definedName name="t5yobgothr1">'EXPENDITURE DETAILS'!#REF!</definedName>
    <definedName name="t5yobgothr2">'EXPENDITURE DETAILS'!#REF!</definedName>
    <definedName name="t5yobgothr3">'EXPENDITURE DETAILS'!#REF!</definedName>
    <definedName name="t5yobgpercap">'EXPENDITURE DETAILS'!#REF!</definedName>
    <definedName name="t5yobgprof">'EXPENDITURE DETAILS'!#REF!</definedName>
    <definedName name="t5yobgsal">'EXPENDITURE DETAILS'!#REF!</definedName>
    <definedName name="t5yobgserv">'EXPENDITURE DETAILS'!#REF!</definedName>
    <definedName name="t5yobgtot">'EXPENDITURE DETAILS'!#REF!</definedName>
    <definedName name="t5youth1">'EXPENDITURE DETAILS'!#REF!</definedName>
    <definedName name="t5youth2">'EXPENDITURE DETAILS'!#REF!</definedName>
    <definedName name="t5youth3">'EXPENDITURE DETAILS'!#REF!</definedName>
    <definedName name="t5youth4">'EXPENDITURE DETAILS'!#REF!</definedName>
    <definedName name="t5youth5">'EXPENDITURE DETAILS'!#REF!</definedName>
    <definedName name="t5youth6">'EXPENDITURE DETAILS'!#REF!</definedName>
    <definedName name="t6barrier">'EXPENDITURE DETAILS'!#REF!</definedName>
    <definedName name="t6cap">'EXPENDITURE DETAILS'!#REF!</definedName>
    <definedName name="t6casecount">'EXPENDITURE DETAILS'!#REF!</definedName>
    <definedName name="t6ebp">'EXPENDITURE DETAILS'!#REF!</definedName>
    <definedName name="t6funds">'EXPENDITURE DETAILS'!#REF!</definedName>
    <definedName name="t6goal">'EXPENDITURE DETAILS'!#REF!</definedName>
    <definedName name="t6jjcpaadmin">'EXPENDITURE DETAILS'!#REF!</definedName>
    <definedName name="t6jjcpacbo">'EXPENDITURE DETAILS'!#REF!</definedName>
    <definedName name="t6jjcpaequip">'EXPENDITURE DETAILS'!#REF!</definedName>
    <definedName name="t6jjcpaothr1">'EXPENDITURE DETAILS'!#REF!</definedName>
    <definedName name="t6jjcpaothr2">'EXPENDITURE DETAILS'!#REF!</definedName>
    <definedName name="t6jjcpaothr3">'EXPENDITURE DETAILS'!#REF!</definedName>
    <definedName name="t6jjcpaprof">'EXPENDITURE DETAILS'!#REF!</definedName>
    <definedName name="t6jjcpasal">'EXPENDITURE DETAILS'!#REF!</definedName>
    <definedName name="t6jjcpaserv">'EXPENDITURE DETAILS'!#REF!</definedName>
    <definedName name="t6jjcpatot">'EXPENDITURE DETAILS'!#REF!</definedName>
    <definedName name="t6location">'EXPENDITURE DETAILS'!#REF!</definedName>
    <definedName name="t6nar">'EXPENDITURE DETAILS'!#REF!</definedName>
    <definedName name="t6numcode">'EXPENDITURE DETAILS'!#REF!</definedName>
    <definedName name="t6other1">'EXPENDITURE DETAILS'!#REF!</definedName>
    <definedName name="t6other2">'EXPENDITURE DETAILS'!#REF!</definedName>
    <definedName name="t6other3">'EXPENDITURE DETAILS'!#REF!</definedName>
    <definedName name="t6otheradmin">'EXPENDITURE DETAILS'!#REF!</definedName>
    <definedName name="t6othercbo">'EXPENDITURE DETAILS'!#REF!</definedName>
    <definedName name="t6otherequip">'EXPENDITURE DETAILS'!#REF!</definedName>
    <definedName name="t6otherothr1">'EXPENDITURE DETAILS'!#REF!</definedName>
    <definedName name="t6otherothr2">'EXPENDITURE DETAILS'!#REF!</definedName>
    <definedName name="t6otherothr3">'EXPENDITURE DETAILS'!#REF!</definedName>
    <definedName name="t6otherprof">'EXPENDITURE DETAILS'!#REF!</definedName>
    <definedName name="t6othersal">'EXPENDITURE DETAILS'!#REF!</definedName>
    <definedName name="t6otherserv">'EXPENDITURE DETAILS'!#REF!</definedName>
    <definedName name="t6othertot">'EXPENDITURE DETAILS'!#REF!</definedName>
    <definedName name="t6progname">'EXPENDITURE DETAILS'!#REF!</definedName>
    <definedName name="t6prognamealt">'EXPENDITURE DETAILS'!#REF!</definedName>
    <definedName name="t6totpercap">'EXPENDITURE DETAILS'!#REF!</definedName>
    <definedName name="t6yobgadmin">'EXPENDITURE DETAILS'!#REF!</definedName>
    <definedName name="t6yobgcbo">'EXPENDITURE DETAILS'!#REF!</definedName>
    <definedName name="t6yobgequip">'EXPENDITURE DETAILS'!#REF!</definedName>
    <definedName name="t6yobgothr1">'EXPENDITURE DETAILS'!#REF!</definedName>
    <definedName name="t6yobgothr2">'EXPENDITURE DETAILS'!#REF!</definedName>
    <definedName name="t6yobgothr3">'EXPENDITURE DETAILS'!#REF!</definedName>
    <definedName name="t6yobgpercap">'EXPENDITURE DETAILS'!#REF!</definedName>
    <definedName name="t6yobgprof">'EXPENDITURE DETAILS'!#REF!</definedName>
    <definedName name="t6yobgsal">'EXPENDITURE DETAILS'!#REF!</definedName>
    <definedName name="t6yobgserv">'EXPENDITURE DETAILS'!#REF!</definedName>
    <definedName name="t6yobgtot">'EXPENDITURE DETAILS'!#REF!</definedName>
    <definedName name="t6youth1">'EXPENDITURE DETAILS'!#REF!</definedName>
    <definedName name="t6youth2">'EXPENDITURE DETAILS'!#REF!</definedName>
    <definedName name="t6youth3">'EXPENDITURE DETAILS'!#REF!</definedName>
    <definedName name="t6youth4">'EXPENDITURE DETAILS'!#REF!</definedName>
    <definedName name="t6youth5">'EXPENDITURE DETAILS'!#REF!</definedName>
    <definedName name="t6youth6">'EXPENDITURE DETAILS'!#REF!</definedName>
    <definedName name="t7barrier">'EXPENDITURE DETAILS'!#REF!</definedName>
    <definedName name="t7cap">'EXPENDITURE DETAILS'!#REF!</definedName>
    <definedName name="t7casecount">'EXPENDITURE DETAILS'!#REF!</definedName>
    <definedName name="t7ebp">'EXPENDITURE DETAILS'!#REF!</definedName>
    <definedName name="t7funds">'EXPENDITURE DETAILS'!#REF!</definedName>
    <definedName name="t7goal">'EXPENDITURE DETAILS'!#REF!</definedName>
    <definedName name="t7jjcpaadmin">'EXPENDITURE DETAILS'!#REF!</definedName>
    <definedName name="t7jjcpacbo">'EXPENDITURE DETAILS'!#REF!</definedName>
    <definedName name="t7jjcpaequip">'EXPENDITURE DETAILS'!#REF!</definedName>
    <definedName name="t7jjcpaothr1">'EXPENDITURE DETAILS'!#REF!</definedName>
    <definedName name="t7jjcpaothr2">'EXPENDITURE DETAILS'!#REF!</definedName>
    <definedName name="t7jjcpaothr3">'EXPENDITURE DETAILS'!#REF!</definedName>
    <definedName name="t7jjcpaprof">'EXPENDITURE DETAILS'!#REF!</definedName>
    <definedName name="t7jjcpasal">'EXPENDITURE DETAILS'!#REF!</definedName>
    <definedName name="t7jjcpaserv">'EXPENDITURE DETAILS'!#REF!</definedName>
    <definedName name="t7jjcpatot">'EXPENDITURE DETAILS'!#REF!</definedName>
    <definedName name="t7location">'EXPENDITURE DETAILS'!#REF!</definedName>
    <definedName name="t7nar">'EXPENDITURE DETAILS'!#REF!</definedName>
    <definedName name="t7numcode">'EXPENDITURE DETAILS'!#REF!</definedName>
    <definedName name="t7other1">'EXPENDITURE DETAILS'!#REF!</definedName>
    <definedName name="t7other2">'EXPENDITURE DETAILS'!#REF!</definedName>
    <definedName name="t7other3">'EXPENDITURE DETAILS'!#REF!</definedName>
    <definedName name="t7otheradmin">'EXPENDITURE DETAILS'!#REF!</definedName>
    <definedName name="t7othercbo">'EXPENDITURE DETAILS'!#REF!</definedName>
    <definedName name="t7otherequip">'EXPENDITURE DETAILS'!#REF!</definedName>
    <definedName name="t7otherothr1">'EXPENDITURE DETAILS'!#REF!</definedName>
    <definedName name="t7otherothr2">'EXPENDITURE DETAILS'!#REF!</definedName>
    <definedName name="t7otherothr3">'EXPENDITURE DETAILS'!#REF!</definedName>
    <definedName name="t7otherprof">'EXPENDITURE DETAILS'!#REF!</definedName>
    <definedName name="t7othersal">'EXPENDITURE DETAILS'!#REF!</definedName>
    <definedName name="t7otherserv">'EXPENDITURE DETAILS'!#REF!</definedName>
    <definedName name="t7othertot">'EXPENDITURE DETAILS'!#REF!</definedName>
    <definedName name="t7progname">'EXPENDITURE DETAILS'!#REF!</definedName>
    <definedName name="t7prognamealt">'EXPENDITURE DETAILS'!#REF!</definedName>
    <definedName name="t7totpercap">'EXPENDITURE DETAILS'!#REF!</definedName>
    <definedName name="t7yobgadmin">'EXPENDITURE DETAILS'!#REF!</definedName>
    <definedName name="t7yobgcbo">'EXPENDITURE DETAILS'!#REF!</definedName>
    <definedName name="t7yobgequip">'EXPENDITURE DETAILS'!#REF!</definedName>
    <definedName name="t7yobgothr1">'EXPENDITURE DETAILS'!#REF!</definedName>
    <definedName name="t7yobgothr2">'EXPENDITURE DETAILS'!#REF!</definedName>
    <definedName name="t7yobgothr3">'EXPENDITURE DETAILS'!#REF!</definedName>
    <definedName name="t7yobgpercap">'EXPENDITURE DETAILS'!#REF!</definedName>
    <definedName name="t7yobgprof">'EXPENDITURE DETAILS'!#REF!</definedName>
    <definedName name="t7yobgsal">'EXPENDITURE DETAILS'!#REF!</definedName>
    <definedName name="t7yobgserv">'EXPENDITURE DETAILS'!#REF!</definedName>
    <definedName name="t7yobgtot">'EXPENDITURE DETAILS'!#REF!</definedName>
    <definedName name="t7youth1">'EXPENDITURE DETAILS'!#REF!</definedName>
    <definedName name="t7youth2">'EXPENDITURE DETAILS'!#REF!</definedName>
    <definedName name="t7youth3">'EXPENDITURE DETAILS'!#REF!</definedName>
    <definedName name="t7youth4">'EXPENDITURE DETAILS'!#REF!</definedName>
    <definedName name="t7youth5">'EXPENDITURE DETAILS'!#REF!</definedName>
    <definedName name="t7youth6">'EXPENDITURE DETAILS'!#REF!</definedName>
    <definedName name="t8barrier">'EXPENDITURE DETAILS'!#REF!</definedName>
    <definedName name="t8cap">'EXPENDITURE DETAILS'!#REF!</definedName>
    <definedName name="t8casecount">'EXPENDITURE DETAILS'!#REF!</definedName>
    <definedName name="t8ebp">'EXPENDITURE DETAILS'!#REF!</definedName>
    <definedName name="t8funds">'EXPENDITURE DETAILS'!#REF!</definedName>
    <definedName name="t8goal">'EXPENDITURE DETAILS'!#REF!</definedName>
    <definedName name="t8jjcpaadmin">'EXPENDITURE DETAILS'!#REF!</definedName>
    <definedName name="t8jjcpacbo">'EXPENDITURE DETAILS'!#REF!</definedName>
    <definedName name="t8jjcpaequip">'EXPENDITURE DETAILS'!#REF!</definedName>
    <definedName name="t8jjcpaothr1">'EXPENDITURE DETAILS'!#REF!</definedName>
    <definedName name="t8jjcpaothr2">'EXPENDITURE DETAILS'!#REF!</definedName>
    <definedName name="t8jjcpaothr3">'EXPENDITURE DETAILS'!#REF!</definedName>
    <definedName name="t8jjcpaprof">'EXPENDITURE DETAILS'!#REF!</definedName>
    <definedName name="t8jjcpasal">'EXPENDITURE DETAILS'!#REF!</definedName>
    <definedName name="t8jjcpaserv">'EXPENDITURE DETAILS'!#REF!</definedName>
    <definedName name="t8jjcpatot">'EXPENDITURE DETAILS'!#REF!</definedName>
    <definedName name="t8location">'EXPENDITURE DETAILS'!#REF!</definedName>
    <definedName name="t8nar">'EXPENDITURE DETAILS'!#REF!</definedName>
    <definedName name="t8numcode">'EXPENDITURE DETAILS'!#REF!</definedName>
    <definedName name="t8other1">'EXPENDITURE DETAILS'!#REF!</definedName>
    <definedName name="t8other2">'EXPENDITURE DETAILS'!#REF!</definedName>
    <definedName name="t8other3">'EXPENDITURE DETAILS'!#REF!</definedName>
    <definedName name="t8otheradmin">'EXPENDITURE DETAILS'!#REF!</definedName>
    <definedName name="t8othercbo">'EXPENDITURE DETAILS'!#REF!</definedName>
    <definedName name="t8otherequip">'EXPENDITURE DETAILS'!#REF!</definedName>
    <definedName name="t8otherothr1">'EXPENDITURE DETAILS'!#REF!</definedName>
    <definedName name="t8otherothr2">'EXPENDITURE DETAILS'!#REF!</definedName>
    <definedName name="t8otherothr3">'EXPENDITURE DETAILS'!#REF!</definedName>
    <definedName name="t8otherprof">'EXPENDITURE DETAILS'!#REF!</definedName>
    <definedName name="t8othersal">'EXPENDITURE DETAILS'!#REF!</definedName>
    <definedName name="t8othersbo">'EXPENDITURE DETAILS'!#REF!</definedName>
    <definedName name="t8otherserv">'EXPENDITURE DETAILS'!#REF!</definedName>
    <definedName name="t8othertot">'EXPENDITURE DETAILS'!#REF!</definedName>
    <definedName name="t8progname">'EXPENDITURE DETAILS'!#REF!</definedName>
    <definedName name="t8prognamealt">'EXPENDITURE DETAILS'!#REF!</definedName>
    <definedName name="t8totpercap">'EXPENDITURE DETAILS'!#REF!</definedName>
    <definedName name="t8yobgadmin">'EXPENDITURE DETAILS'!#REF!</definedName>
    <definedName name="t8yobgcbo">'EXPENDITURE DETAILS'!#REF!</definedName>
    <definedName name="t8yobgequip">'EXPENDITURE DETAILS'!#REF!</definedName>
    <definedName name="t8yobgothr1">'EXPENDITURE DETAILS'!#REF!</definedName>
    <definedName name="t8yobgothr2">'EXPENDITURE DETAILS'!#REF!</definedName>
    <definedName name="t8yobgothr3">'EXPENDITURE DETAILS'!#REF!</definedName>
    <definedName name="t8yobgpercap">'EXPENDITURE DETAILS'!#REF!</definedName>
    <definedName name="t8yobgprof">'EXPENDITURE DETAILS'!#REF!</definedName>
    <definedName name="t8yobgsal">'EXPENDITURE DETAILS'!#REF!</definedName>
    <definedName name="t8yobgserv">'EXPENDITURE DETAILS'!#REF!</definedName>
    <definedName name="t8yobgsrv">'EXPENDITURE DETAILS'!#REF!</definedName>
    <definedName name="t8yobgtot">'EXPENDITURE DETAILS'!#REF!</definedName>
    <definedName name="t8youth1">'EXPENDITURE DETAILS'!#REF!</definedName>
    <definedName name="t8youth2">'EXPENDITURE DETAILS'!#REF!</definedName>
    <definedName name="t8youth3">'EXPENDITURE DETAILS'!#REF!</definedName>
    <definedName name="t8youth4">'EXPENDITURE DETAILS'!#REF!</definedName>
    <definedName name="t8youth5">'EXPENDITURE DETAILS'!#REF!</definedName>
    <definedName name="t8youth6">'EXPENDITURE DETAILS'!#REF!</definedName>
    <definedName name="t9barrier">'EXPENDITURE DETAILS'!#REF!</definedName>
    <definedName name="t9cap">'EXPENDITURE DETAILS'!#REF!</definedName>
    <definedName name="t9casecount">'EXPENDITURE DETAILS'!#REF!</definedName>
    <definedName name="t9ebp">'EXPENDITURE DETAILS'!#REF!</definedName>
    <definedName name="t9funds">'EXPENDITURE DETAILS'!#REF!</definedName>
    <definedName name="t9goal">'EXPENDITURE DETAILS'!#REF!</definedName>
    <definedName name="t9jjcpaadmin">'EXPENDITURE DETAILS'!#REF!</definedName>
    <definedName name="t9jjcpacbo">'EXPENDITURE DETAILS'!#REF!</definedName>
    <definedName name="t9jjcpaequip">'EXPENDITURE DETAILS'!#REF!</definedName>
    <definedName name="t9jjcpaothr1">'EXPENDITURE DETAILS'!#REF!</definedName>
    <definedName name="t9jjcpaothr2">'EXPENDITURE DETAILS'!#REF!</definedName>
    <definedName name="t9jjcpaothr3">'EXPENDITURE DETAILS'!#REF!</definedName>
    <definedName name="t9jjcpaprof">'EXPENDITURE DETAILS'!#REF!</definedName>
    <definedName name="t9jjcpasal">'EXPENDITURE DETAILS'!#REF!</definedName>
    <definedName name="t9jjcpaserv">'EXPENDITURE DETAILS'!#REF!</definedName>
    <definedName name="t9jjcpatot">'EXPENDITURE DETAILS'!#REF!</definedName>
    <definedName name="t9location">'EXPENDITURE DETAILS'!#REF!</definedName>
    <definedName name="t9nar">'EXPENDITURE DETAILS'!#REF!</definedName>
    <definedName name="t9numcode">'EXPENDITURE DETAILS'!#REF!</definedName>
    <definedName name="t9other1">'EXPENDITURE DETAILS'!#REF!</definedName>
    <definedName name="t9other2">'EXPENDITURE DETAILS'!#REF!</definedName>
    <definedName name="t9other3">'EXPENDITURE DETAILS'!#REF!</definedName>
    <definedName name="t9otheradmin">'EXPENDITURE DETAILS'!#REF!</definedName>
    <definedName name="t9othercbo">'EXPENDITURE DETAILS'!#REF!</definedName>
    <definedName name="t9otherequip">'EXPENDITURE DETAILS'!#REF!</definedName>
    <definedName name="t9otherothr1">'EXPENDITURE DETAILS'!#REF!</definedName>
    <definedName name="t9otherothr2">'EXPENDITURE DETAILS'!#REF!</definedName>
    <definedName name="t9otherothr3">'EXPENDITURE DETAILS'!#REF!</definedName>
    <definedName name="t9otherprof">'EXPENDITURE DETAILS'!#REF!</definedName>
    <definedName name="t9othersal">'EXPENDITURE DETAILS'!#REF!</definedName>
    <definedName name="t9otherserv">'EXPENDITURE DETAILS'!#REF!</definedName>
    <definedName name="t9othertot">'EXPENDITURE DETAILS'!#REF!</definedName>
    <definedName name="t9progname">'EXPENDITURE DETAILS'!#REF!</definedName>
    <definedName name="t9prognamealt">'EXPENDITURE DETAILS'!#REF!</definedName>
    <definedName name="t9totpercap">'EXPENDITURE DETAILS'!#REF!</definedName>
    <definedName name="t9yobgadmin">'EXPENDITURE DETAILS'!#REF!</definedName>
    <definedName name="t9yobgcbo">'EXPENDITURE DETAILS'!#REF!</definedName>
    <definedName name="t9yobgequip">'EXPENDITURE DETAILS'!#REF!</definedName>
    <definedName name="t9yobgothr1">'EXPENDITURE DETAILS'!#REF!</definedName>
    <definedName name="t9yobgothr2">'EXPENDITURE DETAILS'!#REF!</definedName>
    <definedName name="t9yobgothr3">'EXPENDITURE DETAILS'!#REF!</definedName>
    <definedName name="t9yobgpercap">'EXPENDITURE DETAILS'!#REF!</definedName>
    <definedName name="t9yobgprof">'EXPENDITURE DETAILS'!#REF!</definedName>
    <definedName name="t9yobgsal">'EXPENDITURE DETAILS'!#REF!</definedName>
    <definedName name="t9yobgserv">'EXPENDITURE DETAILS'!#REF!</definedName>
    <definedName name="t9yobgtot">'EXPENDITURE DETAILS'!#REF!</definedName>
    <definedName name="t9youth1">'EXPENDITURE DETAILS'!#REF!</definedName>
    <definedName name="t9youth2">'EXPENDITURE DETAILS'!#REF!</definedName>
    <definedName name="t9youth3">'EXPENDITURE DETAILS'!#REF!</definedName>
    <definedName name="t9youth4">'EXPENDITURE DETAILS'!#REF!</definedName>
    <definedName name="t9youth5">'EXPENDITURE DETAILS'!#REF!</definedName>
    <definedName name="t9youth6">'EXPENDITURE DETAILS'!#REF!</definedName>
    <definedName name="tibarriers">'EXPENDITURE DETAILS'!#REF!</definedName>
    <definedName name="tinumcode">#REF!</definedName>
    <definedName name="tot0708allo">#REF!</definedName>
    <definedName name="tot0809all">#REF!</definedName>
    <definedName name="tot0910all">#REF!</definedName>
    <definedName name="tot3yrall">#REF!</definedName>
    <definedName name="tot4yrall">#REF!</definedName>
    <definedName name="totforall">#REF!</definedName>
    <definedName name="totyobgexp">#REF!</definedName>
    <definedName name="YESNO">tables!$F$24:$F$25</definedName>
    <definedName name="YLSCMI">'YOBG-FUNDED ASSESSMENTS'!$I$18</definedName>
    <definedName name="Youthtype">tables!$G$24:$G$42</definedName>
    <definedName name="ZIP">'CONTACT INFORMATION'!#REF!</definedName>
    <definedName name="zip2">'CONTACT INFORMATION'!#REF!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32" i="7" l="1"/>
  <c r="G133" i="7"/>
  <c r="H1" i="7" l="1"/>
  <c r="I16" i="36" l="1"/>
  <c r="I239" i="44" l="1"/>
  <c r="G239" i="44"/>
  <c r="E239" i="44"/>
  <c r="H222" i="44"/>
  <c r="I184" i="44"/>
  <c r="G184" i="44"/>
  <c r="E184" i="44"/>
  <c r="H167" i="44"/>
  <c r="I129" i="44"/>
  <c r="G129" i="44"/>
  <c r="E129" i="44"/>
  <c r="H112" i="44"/>
  <c r="I73" i="44"/>
  <c r="G73" i="44"/>
  <c r="E73" i="44"/>
  <c r="H56" i="44"/>
  <c r="I18" i="44"/>
  <c r="G18" i="44"/>
  <c r="E18" i="44"/>
  <c r="H1" i="44"/>
  <c r="H277" i="44"/>
  <c r="E294" i="44"/>
  <c r="G294" i="44"/>
  <c r="I294" i="44"/>
  <c r="H330" i="44"/>
  <c r="E347" i="44"/>
  <c r="G347" i="44"/>
  <c r="I347" i="44"/>
  <c r="H384" i="44"/>
  <c r="E401" i="44"/>
  <c r="G401" i="44"/>
  <c r="I401" i="44"/>
  <c r="H438" i="44"/>
  <c r="E455" i="44"/>
  <c r="G455" i="44"/>
  <c r="I455" i="44"/>
  <c r="H492" i="44"/>
  <c r="E509" i="44"/>
  <c r="G509" i="44"/>
  <c r="I509" i="44"/>
  <c r="H546" i="44"/>
  <c r="E563" i="44"/>
  <c r="G563" i="44"/>
  <c r="I563" i="44"/>
  <c r="H762" i="44" l="1"/>
  <c r="H708" i="44"/>
  <c r="H654" i="44"/>
  <c r="H600" i="44"/>
  <c r="I779" i="44"/>
  <c r="G779" i="44"/>
  <c r="E779" i="44"/>
  <c r="I725" i="44"/>
  <c r="G725" i="44"/>
  <c r="E725" i="44"/>
  <c r="I671" i="44"/>
  <c r="G671" i="44"/>
  <c r="E671" i="44"/>
  <c r="I617" i="44"/>
  <c r="G617" i="44"/>
  <c r="E617" i="44"/>
  <c r="H926" i="7" l="1"/>
  <c r="H868" i="7"/>
  <c r="H810" i="7"/>
  <c r="H752" i="7"/>
  <c r="H694" i="7"/>
  <c r="H636" i="7"/>
  <c r="H578" i="7"/>
  <c r="H520" i="7"/>
  <c r="H462" i="7"/>
  <c r="H404" i="7"/>
  <c r="H346" i="7"/>
  <c r="H288" i="7"/>
  <c r="H230" i="7"/>
  <c r="H177" i="7"/>
  <c r="H125" i="7"/>
  <c r="G12" i="43" l="1"/>
  <c r="D28" i="38" s="1"/>
  <c r="G18" i="43"/>
  <c r="J28" i="38" s="1"/>
  <c r="G1" i="43" l="1"/>
  <c r="I943" i="7" l="1"/>
  <c r="G943" i="7"/>
  <c r="E943" i="7"/>
  <c r="I885" i="7"/>
  <c r="G885" i="7"/>
  <c r="E885" i="7"/>
  <c r="I827" i="7"/>
  <c r="G827" i="7"/>
  <c r="E827" i="7"/>
  <c r="I769" i="7"/>
  <c r="G769" i="7"/>
  <c r="E769" i="7"/>
  <c r="I711" i="7"/>
  <c r="G711" i="7"/>
  <c r="E711" i="7"/>
  <c r="I653" i="7"/>
  <c r="G653" i="7"/>
  <c r="E653" i="7"/>
  <c r="I595" i="7"/>
  <c r="G595" i="7"/>
  <c r="E595" i="7"/>
  <c r="I537" i="7"/>
  <c r="G537" i="7"/>
  <c r="E537" i="7"/>
  <c r="I479" i="7"/>
  <c r="G479" i="7"/>
  <c r="E479" i="7"/>
  <c r="I421" i="7"/>
  <c r="G421" i="7"/>
  <c r="E421" i="7"/>
  <c r="I363" i="7"/>
  <c r="G363" i="7"/>
  <c r="E363" i="7"/>
  <c r="I305" i="7"/>
  <c r="G305" i="7"/>
  <c r="E305" i="7"/>
  <c r="I247" i="7"/>
  <c r="G247" i="7"/>
  <c r="E247" i="7"/>
  <c r="J26" i="37" l="1"/>
  <c r="D21" i="38" s="1"/>
  <c r="H1" i="39" l="1"/>
  <c r="H3" i="38" l="1"/>
  <c r="H65" i="7"/>
  <c r="J44" i="37"/>
  <c r="J21" i="38" s="1"/>
  <c r="J34" i="37"/>
  <c r="J17" i="38" s="1"/>
  <c r="J9" i="37"/>
  <c r="D17" i="38" s="1"/>
  <c r="K1" i="37"/>
  <c r="I27" i="36" l="1"/>
  <c r="J10" i="38" s="1"/>
  <c r="D10" i="38"/>
  <c r="K1" i="36"/>
  <c r="I194" i="7" l="1"/>
  <c r="G194" i="7"/>
  <c r="E194" i="7"/>
  <c r="EU2" i="35"/>
  <c r="B151" i="30"/>
  <c r="HA2" i="35"/>
  <c r="GY2" i="35"/>
  <c r="GX2" i="35"/>
  <c r="GV2" i="35"/>
  <c r="GT2" i="35"/>
  <c r="GS2" i="35"/>
  <c r="GQ2" i="35"/>
  <c r="GO2" i="35"/>
  <c r="GN2" i="35"/>
  <c r="GL2" i="35"/>
  <c r="GJ2" i="35"/>
  <c r="GI2" i="35"/>
  <c r="GG2" i="35"/>
  <c r="GE2" i="35"/>
  <c r="GD2" i="35"/>
  <c r="GB2" i="35"/>
  <c r="FZ2" i="35"/>
  <c r="FY2" i="35"/>
  <c r="FW2" i="35"/>
  <c r="FU2" i="35"/>
  <c r="FT2" i="35"/>
  <c r="FR2" i="35"/>
  <c r="FP2" i="35"/>
  <c r="FO2" i="35"/>
  <c r="FM2" i="35"/>
  <c r="FK2" i="35"/>
  <c r="FJ2" i="35"/>
  <c r="FH2" i="35"/>
  <c r="FF2" i="35"/>
  <c r="FE2" i="35"/>
  <c r="FD2" i="35"/>
  <c r="FA2" i="35"/>
  <c r="EZ2" i="35"/>
  <c r="EY2" i="35"/>
  <c r="EX2" i="35"/>
  <c r="EW2" i="35"/>
  <c r="EV2" i="35"/>
  <c r="ES2" i="35"/>
  <c r="ER2" i="35"/>
  <c r="EQ2" i="35"/>
  <c r="EP2" i="35"/>
  <c r="EO2" i="35"/>
  <c r="EN2" i="35"/>
  <c r="EM2" i="35"/>
  <c r="EJ2" i="35"/>
  <c r="EI2" i="35"/>
  <c r="EH2" i="35"/>
  <c r="EG2" i="35"/>
  <c r="EF2" i="35"/>
  <c r="EE2" i="35"/>
  <c r="ED2" i="35"/>
  <c r="EC2" i="35"/>
  <c r="EB2" i="35"/>
  <c r="EA2" i="35"/>
  <c r="DZ2" i="35"/>
  <c r="DY2" i="35"/>
  <c r="DV2" i="35"/>
  <c r="DU2" i="35"/>
  <c r="DT2" i="35"/>
  <c r="DS2" i="35"/>
  <c r="DR2" i="35"/>
  <c r="DQ2" i="35"/>
  <c r="DP2" i="35"/>
  <c r="DO2" i="35"/>
  <c r="DN2" i="35"/>
  <c r="DM2" i="35"/>
  <c r="DL2" i="35"/>
  <c r="DK2" i="35"/>
  <c r="DH2" i="35"/>
  <c r="DG2" i="35"/>
  <c r="DF2" i="35"/>
  <c r="DE2" i="35"/>
  <c r="DD2" i="35"/>
  <c r="DC2" i="35"/>
  <c r="DB2" i="35"/>
  <c r="DA2" i="35"/>
  <c r="CZ2" i="35"/>
  <c r="CY2" i="35"/>
  <c r="CX2" i="35"/>
  <c r="CW2" i="35"/>
  <c r="CT2" i="35"/>
  <c r="CS2" i="35"/>
  <c r="CR2" i="35"/>
  <c r="CQ2" i="35"/>
  <c r="CP2" i="35"/>
  <c r="CO2" i="35"/>
  <c r="CN2" i="35"/>
  <c r="CM2" i="35"/>
  <c r="CL2" i="35"/>
  <c r="CK2" i="35"/>
  <c r="CJ2" i="35"/>
  <c r="CI2" i="35"/>
  <c r="CF2" i="35"/>
  <c r="CE2" i="35"/>
  <c r="CD2" i="35"/>
  <c r="CC2" i="35"/>
  <c r="CB2" i="35"/>
  <c r="CA2" i="35"/>
  <c r="BZ2" i="35"/>
  <c r="BY2" i="35"/>
  <c r="BX2" i="35"/>
  <c r="BW2" i="35"/>
  <c r="BV2" i="35"/>
  <c r="BU2" i="35"/>
  <c r="BR2" i="35"/>
  <c r="BQ2" i="35"/>
  <c r="BP2" i="35"/>
  <c r="BO2" i="35"/>
  <c r="BN2" i="35"/>
  <c r="BM2" i="35"/>
  <c r="BL2" i="35"/>
  <c r="BK2" i="35"/>
  <c r="BJ2" i="35"/>
  <c r="BI2" i="35"/>
  <c r="BH2" i="35"/>
  <c r="BG2" i="35"/>
  <c r="BD2" i="35"/>
  <c r="BC2" i="35"/>
  <c r="BB2" i="35"/>
  <c r="BA2" i="35"/>
  <c r="AZ2" i="35"/>
  <c r="AY2" i="35"/>
  <c r="AX2" i="35"/>
  <c r="AW2" i="35"/>
  <c r="AV2" i="35"/>
  <c r="AU2" i="35"/>
  <c r="AT2" i="35"/>
  <c r="AS2" i="35"/>
  <c r="AP2" i="35"/>
  <c r="AO2" i="35"/>
  <c r="AN2" i="35"/>
  <c r="AM2" i="35"/>
  <c r="AL2" i="35"/>
  <c r="AK2" i="35"/>
  <c r="AJ2" i="35"/>
  <c r="AI2" i="35"/>
  <c r="AH2" i="35"/>
  <c r="AG2" i="35"/>
  <c r="AF2" i="35"/>
  <c r="AE2" i="35"/>
  <c r="AB2" i="35"/>
  <c r="AA2" i="35"/>
  <c r="Z2" i="35"/>
  <c r="Y2" i="35"/>
  <c r="X2" i="35"/>
  <c r="W2" i="35"/>
  <c r="V2" i="35"/>
  <c r="U2" i="35"/>
  <c r="T2" i="35"/>
  <c r="S2" i="35"/>
  <c r="R2" i="35"/>
  <c r="Q2" i="35"/>
  <c r="N2" i="35"/>
  <c r="M2" i="35"/>
  <c r="L2" i="35"/>
  <c r="K2" i="35"/>
  <c r="J2" i="35"/>
  <c r="I2" i="35"/>
  <c r="H2" i="35"/>
  <c r="G2" i="35"/>
  <c r="F2" i="35"/>
  <c r="E2" i="35"/>
  <c r="D2" i="35"/>
  <c r="C2" i="35"/>
  <c r="B2" i="35"/>
  <c r="A2" i="35"/>
  <c r="B152" i="30"/>
  <c r="B158" i="30"/>
  <c r="B209" i="30"/>
  <c r="B204" i="30"/>
  <c r="B199" i="30"/>
  <c r="B194" i="30"/>
  <c r="B189" i="30"/>
  <c r="B184" i="30"/>
  <c r="B179" i="30"/>
  <c r="B174" i="30"/>
  <c r="B169" i="30"/>
  <c r="B164" i="30"/>
  <c r="B207" i="30"/>
  <c r="B202" i="30"/>
  <c r="B197" i="30"/>
  <c r="B192" i="30"/>
  <c r="B187" i="30"/>
  <c r="B182" i="30"/>
  <c r="B177" i="30"/>
  <c r="B172" i="30"/>
  <c r="B167" i="30"/>
  <c r="B162" i="30"/>
  <c r="B206" i="30"/>
  <c r="B201" i="30"/>
  <c r="B196" i="30"/>
  <c r="B191" i="30"/>
  <c r="B186" i="30"/>
  <c r="B181" i="30"/>
  <c r="B176" i="30"/>
  <c r="B171" i="30"/>
  <c r="B166" i="30"/>
  <c r="B161" i="30"/>
  <c r="HQ2" i="34"/>
  <c r="HP2" i="34"/>
  <c r="HO2" i="34"/>
  <c r="HN2" i="34"/>
  <c r="HM2" i="34"/>
  <c r="HL2" i="34"/>
  <c r="HK2" i="34"/>
  <c r="HJ2" i="34"/>
  <c r="HI2" i="34"/>
  <c r="HH2" i="34"/>
  <c r="HG2" i="34"/>
  <c r="HF2" i="34"/>
  <c r="HE2" i="34"/>
  <c r="HD2" i="34"/>
  <c r="HC2" i="34"/>
  <c r="HB2" i="34"/>
  <c r="HA2" i="34"/>
  <c r="GZ2" i="34"/>
  <c r="GY2" i="34"/>
  <c r="GX2" i="34"/>
  <c r="GW2" i="34"/>
  <c r="GV2" i="34"/>
  <c r="GU2" i="34"/>
  <c r="GT2" i="34"/>
  <c r="GS2" i="34"/>
  <c r="GP2" i="34"/>
  <c r="GN2" i="34"/>
  <c r="GM2" i="34"/>
  <c r="GL2" i="34"/>
  <c r="GK2" i="34"/>
  <c r="GJ2" i="34"/>
  <c r="GI2" i="34"/>
  <c r="GH2" i="34"/>
  <c r="GG2" i="34"/>
  <c r="GF2" i="34"/>
  <c r="GD2" i="34"/>
  <c r="GC2" i="34"/>
  <c r="GB2" i="34"/>
  <c r="GA2" i="34"/>
  <c r="FZ2" i="34"/>
  <c r="FY2" i="34"/>
  <c r="FX2" i="34"/>
  <c r="FW2" i="34"/>
  <c r="FV2" i="34"/>
  <c r="FT2" i="34"/>
  <c r="FS2" i="34"/>
  <c r="FR2" i="34"/>
  <c r="FQ2" i="34"/>
  <c r="FP2" i="34"/>
  <c r="FO2" i="34"/>
  <c r="FN2" i="34"/>
  <c r="FM2" i="34"/>
  <c r="FL2" i="34"/>
  <c r="FK2" i="34"/>
  <c r="FJ2" i="34"/>
  <c r="FI2" i="34"/>
  <c r="FH2" i="34"/>
  <c r="FG2" i="34"/>
  <c r="FF2" i="34"/>
  <c r="FE2" i="34"/>
  <c r="FD2" i="34"/>
  <c r="FA2" i="34"/>
  <c r="EY2" i="34"/>
  <c r="EX2" i="34"/>
  <c r="EW2" i="34"/>
  <c r="EV2" i="34"/>
  <c r="EU2" i="34"/>
  <c r="ET2" i="34"/>
  <c r="ES2" i="34"/>
  <c r="ER2" i="34"/>
  <c r="EQ2" i="34"/>
  <c r="EO2" i="34"/>
  <c r="EN2" i="34"/>
  <c r="EM2" i="34"/>
  <c r="EL2" i="34"/>
  <c r="EK2" i="34"/>
  <c r="EJ2" i="34"/>
  <c r="EI2" i="34"/>
  <c r="EH2" i="34"/>
  <c r="EG2" i="34"/>
  <c r="EE2" i="34"/>
  <c r="ED2" i="34"/>
  <c r="EC2" i="34"/>
  <c r="EB2" i="34"/>
  <c r="EA2" i="34"/>
  <c r="DZ2" i="34"/>
  <c r="DY2" i="34"/>
  <c r="DX2" i="34"/>
  <c r="DW2" i="34"/>
  <c r="DV2" i="34"/>
  <c r="DU2" i="34"/>
  <c r="DT2" i="34"/>
  <c r="DS2" i="34"/>
  <c r="DR2" i="34"/>
  <c r="DQ2" i="34"/>
  <c r="DP2" i="34"/>
  <c r="DO2" i="34"/>
  <c r="DL2" i="34"/>
  <c r="DJ2" i="34"/>
  <c r="DI2" i="34"/>
  <c r="DH2" i="34"/>
  <c r="DG2" i="34"/>
  <c r="DF2" i="34"/>
  <c r="DE2" i="34"/>
  <c r="DD2" i="34"/>
  <c r="DC2" i="34"/>
  <c r="DB2" i="34"/>
  <c r="CZ2" i="34"/>
  <c r="CY2" i="34"/>
  <c r="CX2" i="34"/>
  <c r="CW2" i="34"/>
  <c r="CV2" i="34"/>
  <c r="CU2" i="34"/>
  <c r="CT2" i="34"/>
  <c r="CS2" i="34"/>
  <c r="CR2" i="34"/>
  <c r="CP2" i="34"/>
  <c r="CO2" i="34"/>
  <c r="CN2" i="34"/>
  <c r="CM2" i="34"/>
  <c r="CL2" i="34"/>
  <c r="CK2" i="34"/>
  <c r="CJ2" i="34"/>
  <c r="CI2" i="34"/>
  <c r="CH2" i="34"/>
  <c r="CG2" i="34"/>
  <c r="CF2" i="34"/>
  <c r="CE2" i="34"/>
  <c r="CD2" i="34"/>
  <c r="CC2" i="34"/>
  <c r="CB2" i="34"/>
  <c r="CA2" i="34"/>
  <c r="BZ2" i="34"/>
  <c r="BW2" i="34"/>
  <c r="BU2" i="34"/>
  <c r="BT2" i="34"/>
  <c r="BS2" i="34"/>
  <c r="BR2" i="34"/>
  <c r="BQ2" i="34"/>
  <c r="BP2" i="34"/>
  <c r="BO2" i="34"/>
  <c r="BN2" i="34"/>
  <c r="BM2" i="34"/>
  <c r="BK2" i="34"/>
  <c r="BJ2" i="34"/>
  <c r="BI2" i="34"/>
  <c r="BH2" i="34"/>
  <c r="BG2" i="34"/>
  <c r="BF2" i="34"/>
  <c r="BE2" i="34"/>
  <c r="BD2" i="34"/>
  <c r="BC2" i="34"/>
  <c r="BA2" i="34"/>
  <c r="AZ2" i="34"/>
  <c r="AY2" i="34"/>
  <c r="AX2" i="34"/>
  <c r="AW2" i="34"/>
  <c r="AV2" i="34"/>
  <c r="AU2" i="34"/>
  <c r="AT2" i="34"/>
  <c r="AS2" i="34"/>
  <c r="AR2" i="34"/>
  <c r="AQ2" i="34"/>
  <c r="AP2" i="34"/>
  <c r="AO2" i="34"/>
  <c r="AN2" i="34"/>
  <c r="AM2" i="34"/>
  <c r="AL2" i="34"/>
  <c r="AK2" i="34"/>
  <c r="AH2" i="34"/>
  <c r="AF2" i="34"/>
  <c r="AE2" i="34"/>
  <c r="AD2" i="34"/>
  <c r="AC2" i="34"/>
  <c r="AB2" i="34"/>
  <c r="AA2" i="34"/>
  <c r="Z2" i="34"/>
  <c r="Y2" i="34"/>
  <c r="X2" i="34"/>
  <c r="V2" i="34"/>
  <c r="U2" i="34"/>
  <c r="T2" i="34"/>
  <c r="S2" i="34"/>
  <c r="R2" i="34"/>
  <c r="Q2" i="34"/>
  <c r="P2" i="34"/>
  <c r="O2" i="34"/>
  <c r="N2" i="34"/>
  <c r="L2" i="34"/>
  <c r="K2" i="34"/>
  <c r="J2" i="34"/>
  <c r="I2" i="34"/>
  <c r="H2" i="34"/>
  <c r="G2" i="34"/>
  <c r="F2" i="34"/>
  <c r="E2" i="34"/>
  <c r="D2" i="34"/>
  <c r="C2" i="34"/>
  <c r="B2" i="34"/>
  <c r="A2" i="34"/>
  <c r="HQ2" i="33"/>
  <c r="HP2" i="33"/>
  <c r="HO2" i="33"/>
  <c r="HN2" i="33"/>
  <c r="HM2" i="33"/>
  <c r="HL2" i="33"/>
  <c r="HI2" i="33"/>
  <c r="HG2" i="33"/>
  <c r="HF2" i="33"/>
  <c r="HE2" i="33"/>
  <c r="HD2" i="33"/>
  <c r="HC2" i="33"/>
  <c r="HB2" i="33"/>
  <c r="HA2" i="33"/>
  <c r="GZ2" i="33"/>
  <c r="GY2" i="33"/>
  <c r="GW2" i="33"/>
  <c r="GV2" i="33"/>
  <c r="GU2" i="33"/>
  <c r="GT2" i="33"/>
  <c r="GS2" i="33"/>
  <c r="GR2" i="33"/>
  <c r="GQ2" i="33"/>
  <c r="GP2" i="33"/>
  <c r="GO2" i="33"/>
  <c r="GM2" i="33"/>
  <c r="GL2" i="33"/>
  <c r="GK2" i="33"/>
  <c r="GJ2" i="33"/>
  <c r="GI2" i="33"/>
  <c r="GH2" i="33"/>
  <c r="GG2" i="33"/>
  <c r="GF2" i="33"/>
  <c r="GE2" i="33"/>
  <c r="GD2" i="33"/>
  <c r="GC2" i="33"/>
  <c r="GB2" i="33"/>
  <c r="GA2" i="33"/>
  <c r="FZ2" i="33"/>
  <c r="FY2" i="33"/>
  <c r="FX2" i="33"/>
  <c r="FW2" i="33"/>
  <c r="FT2" i="33"/>
  <c r="FR2" i="33"/>
  <c r="FQ2" i="33"/>
  <c r="FP2" i="33"/>
  <c r="FO2" i="33"/>
  <c r="FN2" i="33"/>
  <c r="FM2" i="33"/>
  <c r="FL2" i="33"/>
  <c r="FK2" i="33"/>
  <c r="FJ2" i="33"/>
  <c r="FH2" i="33"/>
  <c r="FG2" i="33"/>
  <c r="FF2" i="33"/>
  <c r="FE2" i="33"/>
  <c r="FD2" i="33"/>
  <c r="FC2" i="33"/>
  <c r="FB2" i="33"/>
  <c r="FA2" i="33"/>
  <c r="EZ2" i="33"/>
  <c r="EX2" i="33"/>
  <c r="EW2" i="33"/>
  <c r="EV2" i="33"/>
  <c r="EU2" i="33"/>
  <c r="ET2" i="33"/>
  <c r="ES2" i="33"/>
  <c r="ER2" i="33"/>
  <c r="EQ2" i="33"/>
  <c r="EP2" i="33"/>
  <c r="EO2" i="33"/>
  <c r="EN2" i="33"/>
  <c r="EM2" i="33"/>
  <c r="EL2" i="33"/>
  <c r="EK2" i="33"/>
  <c r="EJ2" i="33"/>
  <c r="EI2" i="33"/>
  <c r="EH2" i="33"/>
  <c r="EE2" i="33"/>
  <c r="EC2" i="33"/>
  <c r="EB2" i="33"/>
  <c r="EA2" i="33"/>
  <c r="DZ2" i="33"/>
  <c r="DY2" i="33"/>
  <c r="DX2" i="33"/>
  <c r="DW2" i="33"/>
  <c r="DV2" i="33"/>
  <c r="DU2" i="33"/>
  <c r="DS2" i="33"/>
  <c r="DR2" i="33"/>
  <c r="DQ2" i="33"/>
  <c r="DP2" i="33"/>
  <c r="DO2" i="33"/>
  <c r="DN2" i="33"/>
  <c r="DM2" i="33"/>
  <c r="DL2" i="33"/>
  <c r="DK2" i="33"/>
  <c r="DI2" i="33"/>
  <c r="DH2" i="33"/>
  <c r="DG2" i="33"/>
  <c r="DF2" i="33"/>
  <c r="DE2" i="33"/>
  <c r="DD2" i="33"/>
  <c r="DC2" i="33"/>
  <c r="DB2" i="33"/>
  <c r="DA2" i="33"/>
  <c r="CZ2" i="33"/>
  <c r="CY2" i="33"/>
  <c r="CX2" i="33"/>
  <c r="CW2" i="33"/>
  <c r="CV2" i="33"/>
  <c r="CU2" i="33"/>
  <c r="CT2" i="33"/>
  <c r="CS2" i="33"/>
  <c r="CP2" i="33"/>
  <c r="CN2" i="33"/>
  <c r="CM2" i="33"/>
  <c r="CL2" i="33"/>
  <c r="CK2" i="33"/>
  <c r="CJ2" i="33"/>
  <c r="CI2" i="33"/>
  <c r="CH2" i="33"/>
  <c r="CG2" i="33"/>
  <c r="CF2" i="33"/>
  <c r="CD2" i="33"/>
  <c r="CC2" i="33"/>
  <c r="CB2" i="33"/>
  <c r="CA2" i="33"/>
  <c r="BZ2" i="33"/>
  <c r="BY2" i="33"/>
  <c r="BX2" i="33"/>
  <c r="BW2" i="33"/>
  <c r="BV2" i="33"/>
  <c r="BT2" i="33"/>
  <c r="BS2" i="33"/>
  <c r="BR2" i="33"/>
  <c r="BQ2" i="33"/>
  <c r="BP2" i="33"/>
  <c r="BO2" i="33"/>
  <c r="BN2" i="33"/>
  <c r="BM2" i="33"/>
  <c r="BL2" i="33"/>
  <c r="BK2" i="33"/>
  <c r="BJ2" i="33"/>
  <c r="BI2" i="33"/>
  <c r="BH2" i="33"/>
  <c r="BG2" i="33"/>
  <c r="BF2" i="33"/>
  <c r="BE2" i="33"/>
  <c r="BD2" i="33"/>
  <c r="BA2" i="33"/>
  <c r="AY2" i="33"/>
  <c r="AX2" i="33"/>
  <c r="AW2" i="33"/>
  <c r="AV2" i="33"/>
  <c r="AU2" i="33"/>
  <c r="AT2" i="33"/>
  <c r="AS2" i="33"/>
  <c r="AR2" i="33"/>
  <c r="AQ2" i="33"/>
  <c r="AO2" i="33"/>
  <c r="AN2" i="33"/>
  <c r="AM2" i="33"/>
  <c r="AL2" i="33"/>
  <c r="AK2" i="33"/>
  <c r="AJ2" i="33"/>
  <c r="AI2" i="33"/>
  <c r="AH2" i="33"/>
  <c r="AG2" i="33"/>
  <c r="AE2" i="33"/>
  <c r="AD2" i="33"/>
  <c r="AC2" i="33"/>
  <c r="AB2" i="33"/>
  <c r="AA2" i="33"/>
  <c r="Z2" i="33"/>
  <c r="Y2" i="33"/>
  <c r="X2" i="33"/>
  <c r="W2" i="33"/>
  <c r="V2" i="33"/>
  <c r="U2" i="33"/>
  <c r="T2" i="33"/>
  <c r="P2" i="33"/>
  <c r="O2" i="33"/>
  <c r="N2" i="33"/>
  <c r="M2" i="33"/>
  <c r="L2" i="33"/>
  <c r="K2" i="33"/>
  <c r="J2" i="33"/>
  <c r="I2" i="33"/>
  <c r="H2" i="33"/>
  <c r="G2" i="33"/>
  <c r="F2" i="33"/>
  <c r="E2" i="33"/>
  <c r="D2" i="33"/>
  <c r="C2" i="33"/>
  <c r="B2" i="33"/>
  <c r="A2" i="33"/>
  <c r="B153" i="30"/>
  <c r="B160" i="30"/>
  <c r="B139" i="30"/>
  <c r="B138" i="30"/>
  <c r="B125" i="30"/>
  <c r="B124" i="30"/>
  <c r="B111" i="30"/>
  <c r="B110" i="30"/>
  <c r="B97" i="30"/>
  <c r="B96" i="30"/>
  <c r="B83" i="30"/>
  <c r="B82" i="30"/>
  <c r="B69" i="30"/>
  <c r="B68" i="30"/>
  <c r="B55" i="30"/>
  <c r="B54" i="30"/>
  <c r="B41" i="30"/>
  <c r="B40" i="30"/>
  <c r="B27" i="30"/>
  <c r="B26" i="30"/>
  <c r="B13" i="30"/>
  <c r="B12" i="30"/>
  <c r="E142" i="7"/>
  <c r="AF2" i="33" s="1"/>
  <c r="B55" i="8"/>
  <c r="B15" i="30"/>
  <c r="BU2" i="33"/>
  <c r="DJ2" i="33"/>
  <c r="B155" i="8"/>
  <c r="B196" i="8"/>
  <c r="CQ2" i="34"/>
  <c r="FU2" i="34"/>
  <c r="B157" i="30"/>
  <c r="B156" i="30"/>
  <c r="B154" i="30"/>
  <c r="B155" i="30"/>
  <c r="B145" i="30"/>
  <c r="B131" i="30"/>
  <c r="B117" i="30"/>
  <c r="B103" i="30"/>
  <c r="B89" i="30"/>
  <c r="B75" i="30"/>
  <c r="B61" i="30"/>
  <c r="B47" i="30"/>
  <c r="B33" i="30"/>
  <c r="B19" i="30"/>
  <c r="B38" i="30"/>
  <c r="B103" i="8"/>
  <c r="B20" i="8"/>
  <c r="B149" i="30"/>
  <c r="B148" i="30"/>
  <c r="B147" i="30"/>
  <c r="B135" i="30"/>
  <c r="B134" i="30"/>
  <c r="B133" i="30"/>
  <c r="B121" i="30"/>
  <c r="B120" i="30"/>
  <c r="B119" i="30"/>
  <c r="B107" i="30"/>
  <c r="B106" i="30"/>
  <c r="B105" i="30"/>
  <c r="B93" i="30"/>
  <c r="B92" i="30"/>
  <c r="B91" i="30"/>
  <c r="B79" i="30"/>
  <c r="B78" i="30"/>
  <c r="B77" i="30"/>
  <c r="B65" i="30"/>
  <c r="B64" i="30"/>
  <c r="B63" i="30"/>
  <c r="B51" i="30"/>
  <c r="B50" i="30"/>
  <c r="B49" i="30"/>
  <c r="B37" i="30"/>
  <c r="B36" i="30"/>
  <c r="B35" i="30"/>
  <c r="B23" i="30"/>
  <c r="B22" i="30"/>
  <c r="B21" i="30"/>
  <c r="B146" i="30"/>
  <c r="B144" i="30"/>
  <c r="B143" i="30"/>
  <c r="B140" i="30"/>
  <c r="B137" i="30"/>
  <c r="B136" i="30"/>
  <c r="B132" i="30"/>
  <c r="B130" i="30"/>
  <c r="B129" i="30"/>
  <c r="B126" i="30"/>
  <c r="B123" i="30"/>
  <c r="B122" i="30"/>
  <c r="B118" i="30"/>
  <c r="B116" i="30"/>
  <c r="B115" i="30"/>
  <c r="B112" i="30"/>
  <c r="B109" i="30"/>
  <c r="B108" i="30"/>
  <c r="B104" i="30"/>
  <c r="B102" i="30"/>
  <c r="B101" i="30"/>
  <c r="B98" i="30"/>
  <c r="B95" i="30"/>
  <c r="B94" i="30"/>
  <c r="B90" i="30"/>
  <c r="B88" i="30"/>
  <c r="B87" i="30"/>
  <c r="B84" i="30"/>
  <c r="B81" i="30"/>
  <c r="B80" i="30"/>
  <c r="B76" i="30"/>
  <c r="B74" i="30"/>
  <c r="B73" i="30"/>
  <c r="B70" i="30"/>
  <c r="B67" i="30"/>
  <c r="B66" i="30"/>
  <c r="B62" i="30"/>
  <c r="B60" i="30"/>
  <c r="B59" i="30"/>
  <c r="B56" i="30"/>
  <c r="B53" i="30"/>
  <c r="B52" i="30"/>
  <c r="B48" i="30"/>
  <c r="B46" i="30"/>
  <c r="B45" i="30"/>
  <c r="B42" i="30"/>
  <c r="B39" i="30"/>
  <c r="B34" i="30"/>
  <c r="B32" i="30"/>
  <c r="B31" i="30"/>
  <c r="B28" i="30"/>
  <c r="B25" i="30"/>
  <c r="B24" i="30"/>
  <c r="B20" i="30"/>
  <c r="B18" i="30"/>
  <c r="B17" i="30"/>
  <c r="G142" i="7"/>
  <c r="B42" i="8" s="1"/>
  <c r="I142" i="7"/>
  <c r="AZ2" i="33" s="1"/>
  <c r="B14" i="30"/>
  <c r="B11" i="30"/>
  <c r="B10" i="30"/>
  <c r="B9" i="30"/>
  <c r="B8" i="30"/>
  <c r="B7" i="30"/>
  <c r="B6" i="30"/>
  <c r="B5" i="30"/>
  <c r="B4" i="30"/>
  <c r="B3" i="30"/>
  <c r="B2" i="30"/>
  <c r="B225" i="31"/>
  <c r="B224" i="31"/>
  <c r="B223" i="31"/>
  <c r="B222" i="31"/>
  <c r="B221" i="31"/>
  <c r="B220" i="31"/>
  <c r="B219" i="31"/>
  <c r="B218" i="31"/>
  <c r="B217" i="31"/>
  <c r="B216" i="31"/>
  <c r="B215" i="31"/>
  <c r="B214" i="31"/>
  <c r="B213" i="31"/>
  <c r="B212" i="31"/>
  <c r="B211" i="31"/>
  <c r="B210" i="31"/>
  <c r="B209" i="31"/>
  <c r="B208" i="31"/>
  <c r="B207" i="31"/>
  <c r="B206" i="31"/>
  <c r="B205" i="31"/>
  <c r="B204" i="31"/>
  <c r="B203" i="31"/>
  <c r="B202" i="31"/>
  <c r="B201" i="31"/>
  <c r="B198" i="31"/>
  <c r="B196" i="31"/>
  <c r="B195" i="31"/>
  <c r="B194" i="31"/>
  <c r="B193" i="31"/>
  <c r="B192" i="31"/>
  <c r="B191" i="31"/>
  <c r="B190" i="31"/>
  <c r="B189" i="31"/>
  <c r="B188" i="31"/>
  <c r="B186" i="31"/>
  <c r="B185" i="31"/>
  <c r="B184" i="31"/>
  <c r="B183" i="31"/>
  <c r="B182" i="31"/>
  <c r="B181" i="31"/>
  <c r="B180" i="31"/>
  <c r="B179" i="31"/>
  <c r="B178" i="31"/>
  <c r="B176" i="31"/>
  <c r="B175" i="31"/>
  <c r="B174" i="31"/>
  <c r="B173" i="31"/>
  <c r="B172" i="31"/>
  <c r="B171" i="31"/>
  <c r="B170" i="31"/>
  <c r="B169" i="31"/>
  <c r="B168" i="31"/>
  <c r="B167" i="31"/>
  <c r="B166" i="31"/>
  <c r="B165" i="31"/>
  <c r="B164" i="31"/>
  <c r="B163" i="31"/>
  <c r="B162" i="31"/>
  <c r="B161" i="31"/>
  <c r="B160" i="31"/>
  <c r="B157" i="31"/>
  <c r="B155" i="31"/>
  <c r="B154" i="31"/>
  <c r="B153" i="31"/>
  <c r="B152" i="31"/>
  <c r="B151" i="31"/>
  <c r="B150" i="31"/>
  <c r="B149" i="31"/>
  <c r="B148" i="31"/>
  <c r="B147" i="31"/>
  <c r="B145" i="31"/>
  <c r="B144" i="31"/>
  <c r="B143" i="31"/>
  <c r="B142" i="31"/>
  <c r="B141" i="31"/>
  <c r="B140" i="31"/>
  <c r="B139" i="31"/>
  <c r="B138" i="31"/>
  <c r="B137" i="31"/>
  <c r="B135" i="31"/>
  <c r="B134" i="31"/>
  <c r="B133" i="31"/>
  <c r="B132" i="31"/>
  <c r="B131" i="31"/>
  <c r="B130" i="31"/>
  <c r="B129" i="31"/>
  <c r="B128" i="31"/>
  <c r="B127" i="31"/>
  <c r="B126" i="31"/>
  <c r="B125" i="31"/>
  <c r="B124" i="31"/>
  <c r="B123" i="31"/>
  <c r="B122" i="31"/>
  <c r="B121" i="31"/>
  <c r="B120" i="31"/>
  <c r="B119" i="31"/>
  <c r="B116" i="31"/>
  <c r="B114" i="31"/>
  <c r="B113" i="31"/>
  <c r="B112" i="31"/>
  <c r="B111" i="31"/>
  <c r="B110" i="31"/>
  <c r="B109" i="31"/>
  <c r="B108" i="31"/>
  <c r="B107" i="31"/>
  <c r="B106" i="31"/>
  <c r="B104" i="31"/>
  <c r="B103" i="31"/>
  <c r="B102" i="31"/>
  <c r="B101" i="31"/>
  <c r="B100" i="31"/>
  <c r="B99" i="31"/>
  <c r="B98" i="31"/>
  <c r="B97" i="31"/>
  <c r="B96" i="31"/>
  <c r="B94" i="31"/>
  <c r="B93" i="31"/>
  <c r="B92" i="31"/>
  <c r="B91" i="31"/>
  <c r="B90" i="31"/>
  <c r="B89" i="31"/>
  <c r="B88" i="31"/>
  <c r="B87" i="31"/>
  <c r="B86" i="31"/>
  <c r="B85" i="31"/>
  <c r="B84" i="31"/>
  <c r="B83" i="31"/>
  <c r="B82" i="31"/>
  <c r="B81" i="31"/>
  <c r="B80" i="31"/>
  <c r="B79" i="31"/>
  <c r="B78" i="31"/>
  <c r="B75" i="31"/>
  <c r="B73" i="31"/>
  <c r="B72" i="31"/>
  <c r="B71" i="31"/>
  <c r="B70" i="31"/>
  <c r="B69" i="31"/>
  <c r="B68" i="31"/>
  <c r="B67" i="31"/>
  <c r="B66" i="31"/>
  <c r="B65" i="31"/>
  <c r="B63" i="31"/>
  <c r="B62" i="31"/>
  <c r="B61" i="31"/>
  <c r="B60" i="31"/>
  <c r="B59" i="31"/>
  <c r="B58" i="31"/>
  <c r="B57" i="31"/>
  <c r="B56" i="31"/>
  <c r="B55" i="31"/>
  <c r="B53" i="31"/>
  <c r="B52" i="31"/>
  <c r="B51" i="31"/>
  <c r="B50" i="31"/>
  <c r="B49" i="31"/>
  <c r="B48" i="31"/>
  <c r="B47" i="31"/>
  <c r="B46" i="31"/>
  <c r="B45" i="31"/>
  <c r="B44" i="31"/>
  <c r="B43" i="31"/>
  <c r="B42" i="31"/>
  <c r="B41" i="31"/>
  <c r="B40" i="31"/>
  <c r="B39" i="31"/>
  <c r="B38" i="31"/>
  <c r="B37" i="31"/>
  <c r="B34" i="31"/>
  <c r="B32" i="31"/>
  <c r="B31" i="31"/>
  <c r="B30" i="31"/>
  <c r="B29" i="31"/>
  <c r="B28" i="31"/>
  <c r="B27" i="31"/>
  <c r="B26" i="31"/>
  <c r="B25" i="31"/>
  <c r="B24" i="31"/>
  <c r="B22" i="31"/>
  <c r="B21" i="31"/>
  <c r="B20" i="31"/>
  <c r="B19" i="31"/>
  <c r="B18" i="31"/>
  <c r="B17" i="31"/>
  <c r="B16" i="31"/>
  <c r="B15" i="31"/>
  <c r="B14" i="31"/>
  <c r="B12" i="31"/>
  <c r="B11" i="31"/>
  <c r="B10" i="31"/>
  <c r="B9" i="31"/>
  <c r="B8" i="31"/>
  <c r="B7" i="31"/>
  <c r="B6" i="31"/>
  <c r="B5" i="31"/>
  <c r="B4" i="31"/>
  <c r="B3" i="31"/>
  <c r="B2" i="31"/>
  <c r="B1" i="30"/>
  <c r="B1" i="31"/>
  <c r="E56" i="29"/>
  <c r="CO2" i="33"/>
  <c r="FS2" i="35"/>
  <c r="B180" i="30"/>
  <c r="GC2" i="35"/>
  <c r="B33" i="31"/>
  <c r="B195" i="30"/>
  <c r="GR2" i="35"/>
  <c r="B205" i="30"/>
  <c r="B210" i="30"/>
  <c r="B83" i="8"/>
  <c r="B173" i="30"/>
  <c r="FV2" i="35"/>
  <c r="GA2" i="35"/>
  <c r="GF2" i="35"/>
  <c r="B64" i="31"/>
  <c r="B105" i="31"/>
  <c r="B203" i="30"/>
  <c r="GE2" i="34"/>
  <c r="B225" i="8"/>
  <c r="B224" i="8"/>
  <c r="B184" i="8"/>
  <c r="B183" i="8"/>
  <c r="B143" i="8"/>
  <c r="B142" i="8"/>
  <c r="B102" i="8"/>
  <c r="B101" i="8"/>
  <c r="B61" i="8"/>
  <c r="B60" i="8"/>
  <c r="B186" i="8"/>
  <c r="B185" i="8"/>
  <c r="B145" i="8"/>
  <c r="B144" i="8"/>
  <c r="B104" i="8"/>
  <c r="B10" i="8"/>
  <c r="B11" i="8"/>
  <c r="B63" i="8"/>
  <c r="B62" i="8"/>
  <c r="E56" i="27"/>
  <c r="E53" i="28"/>
  <c r="B9" i="8"/>
  <c r="B12" i="8"/>
  <c r="B7" i="8"/>
  <c r="B6" i="8"/>
  <c r="B5" i="8"/>
  <c r="B24" i="8"/>
  <c r="B22" i="8"/>
  <c r="B23" i="8"/>
  <c r="B1" i="8"/>
  <c r="B21" i="8"/>
  <c r="B8" i="8"/>
  <c r="B3" i="8"/>
  <c r="B16" i="8"/>
  <c r="B15" i="8"/>
  <c r="B14" i="8"/>
  <c r="B13" i="8"/>
  <c r="B2" i="8"/>
  <c r="B4" i="8"/>
  <c r="B223" i="8"/>
  <c r="B222" i="8"/>
  <c r="B221" i="8"/>
  <c r="B220" i="8"/>
  <c r="B217" i="8"/>
  <c r="B215" i="8"/>
  <c r="B214" i="8"/>
  <c r="B213" i="8"/>
  <c r="B212" i="8"/>
  <c r="B211" i="8"/>
  <c r="B210" i="8"/>
  <c r="B209" i="8"/>
  <c r="B208" i="8"/>
  <c r="B207" i="8"/>
  <c r="B205" i="8"/>
  <c r="B204" i="8"/>
  <c r="B203" i="8"/>
  <c r="B202" i="8"/>
  <c r="B201" i="8"/>
  <c r="B200" i="8"/>
  <c r="B199" i="8"/>
  <c r="B198" i="8"/>
  <c r="B197" i="8"/>
  <c r="B195" i="8"/>
  <c r="B194" i="8"/>
  <c r="B193" i="8"/>
  <c r="B192" i="8"/>
  <c r="B191" i="8"/>
  <c r="B190" i="8"/>
  <c r="B189" i="8"/>
  <c r="B188" i="8"/>
  <c r="B187" i="8"/>
  <c r="B182" i="8"/>
  <c r="B181" i="8"/>
  <c r="B180" i="8"/>
  <c r="B179" i="8"/>
  <c r="B176" i="8"/>
  <c r="B174" i="8"/>
  <c r="B173" i="8"/>
  <c r="B172" i="8"/>
  <c r="B171" i="8"/>
  <c r="B170" i="8"/>
  <c r="B169" i="8"/>
  <c r="B168" i="8"/>
  <c r="B167" i="8"/>
  <c r="B166" i="8"/>
  <c r="B164" i="8"/>
  <c r="B163" i="8"/>
  <c r="B162" i="8"/>
  <c r="B161" i="8"/>
  <c r="B160" i="8"/>
  <c r="B159" i="8"/>
  <c r="B158" i="8"/>
  <c r="B157" i="8"/>
  <c r="B156" i="8"/>
  <c r="B154" i="8"/>
  <c r="B153" i="8"/>
  <c r="B152" i="8"/>
  <c r="B151" i="8"/>
  <c r="B150" i="8"/>
  <c r="B149" i="8"/>
  <c r="B148" i="8"/>
  <c r="B147" i="8"/>
  <c r="B146" i="8"/>
  <c r="B141" i="8"/>
  <c r="B140" i="8"/>
  <c r="B139" i="8"/>
  <c r="B138" i="8"/>
  <c r="B135" i="8"/>
  <c r="B133" i="8"/>
  <c r="B132" i="8"/>
  <c r="B131" i="8"/>
  <c r="B130" i="8"/>
  <c r="B129" i="8"/>
  <c r="B128" i="8"/>
  <c r="B127" i="8"/>
  <c r="B126" i="8"/>
  <c r="B125" i="8"/>
  <c r="B123" i="8"/>
  <c r="B122" i="8"/>
  <c r="B121" i="8"/>
  <c r="B120" i="8"/>
  <c r="B119" i="8"/>
  <c r="B118" i="8"/>
  <c r="B117" i="8"/>
  <c r="B116" i="8"/>
  <c r="B115" i="8"/>
  <c r="B113" i="8"/>
  <c r="B112" i="8"/>
  <c r="B111" i="8"/>
  <c r="B110" i="8"/>
  <c r="B109" i="8"/>
  <c r="B108" i="8"/>
  <c r="B107" i="8"/>
  <c r="B106" i="8"/>
  <c r="B105" i="8"/>
  <c r="B89" i="8"/>
  <c r="B79" i="8"/>
  <c r="B48" i="8"/>
  <c r="B38" i="8"/>
  <c r="B98" i="8"/>
  <c r="B100" i="8"/>
  <c r="B99" i="8"/>
  <c r="B97" i="8"/>
  <c r="B94" i="8"/>
  <c r="B92" i="8"/>
  <c r="B91" i="8"/>
  <c r="B90" i="8"/>
  <c r="B88" i="8"/>
  <c r="B87" i="8"/>
  <c r="B86" i="8"/>
  <c r="B85" i="8"/>
  <c r="B84" i="8"/>
  <c r="B82" i="8"/>
  <c r="B81" i="8"/>
  <c r="B80" i="8"/>
  <c r="B78" i="8"/>
  <c r="B77" i="8"/>
  <c r="B76" i="8"/>
  <c r="B75" i="8"/>
  <c r="B74" i="8"/>
  <c r="B72" i="8"/>
  <c r="B71" i="8"/>
  <c r="B70" i="8"/>
  <c r="B69" i="8"/>
  <c r="B68" i="8"/>
  <c r="B67" i="8"/>
  <c r="B66" i="8"/>
  <c r="B65" i="8"/>
  <c r="B64" i="8"/>
  <c r="B28" i="8"/>
  <c r="B53" i="8"/>
  <c r="B51" i="8"/>
  <c r="B50" i="8"/>
  <c r="B49" i="8"/>
  <c r="B47" i="8"/>
  <c r="B46" i="8"/>
  <c r="B45" i="8"/>
  <c r="B44" i="8"/>
  <c r="B43" i="8"/>
  <c r="B41" i="8"/>
  <c r="B40" i="8"/>
  <c r="B39" i="8"/>
  <c r="B37" i="8"/>
  <c r="B36" i="8"/>
  <c r="B35" i="8"/>
  <c r="B34" i="8"/>
  <c r="B33" i="8"/>
  <c r="B31" i="8"/>
  <c r="B30" i="8"/>
  <c r="B29" i="8"/>
  <c r="B27" i="8"/>
  <c r="B26" i="8"/>
  <c r="B25" i="8"/>
  <c r="B59" i="8"/>
  <c r="B58" i="8"/>
  <c r="B57" i="8"/>
  <c r="B56" i="8"/>
  <c r="FB2" i="35"/>
  <c r="B115" i="31"/>
  <c r="GM2" i="35"/>
  <c r="B13" i="31"/>
  <c r="FX2" i="35"/>
  <c r="B216" i="8"/>
  <c r="HH2" i="33"/>
  <c r="B175" i="8"/>
  <c r="B156" i="31"/>
  <c r="B185" i="30"/>
  <c r="M2" i="34"/>
  <c r="GN2" i="33"/>
  <c r="EP2" i="34"/>
  <c r="B146" i="31"/>
  <c r="FI2" i="33"/>
  <c r="FQ2" i="35"/>
  <c r="B74" i="31"/>
  <c r="B175" i="30"/>
  <c r="B170" i="30"/>
  <c r="B95" i="31"/>
  <c r="B165" i="8"/>
  <c r="B93" i="8"/>
  <c r="GO2" i="34"/>
  <c r="HB2" i="35"/>
  <c r="B117" i="31"/>
  <c r="GP2" i="35"/>
  <c r="CE2" i="33"/>
  <c r="B54" i="8"/>
  <c r="B198" i="30"/>
  <c r="BV2" i="34"/>
  <c r="B187" i="31"/>
  <c r="B197" i="31"/>
  <c r="B128" i="30"/>
  <c r="B141" i="30"/>
  <c r="BL2" i="34"/>
  <c r="B158" i="31"/>
  <c r="GK2" i="35"/>
  <c r="B193" i="30"/>
  <c r="EF2" i="34"/>
  <c r="FS2" i="33"/>
  <c r="B136" i="31"/>
  <c r="B35" i="31"/>
  <c r="B85" i="30"/>
  <c r="CG2" i="35"/>
  <c r="AI2" i="34"/>
  <c r="AG2" i="34"/>
  <c r="GH2" i="35"/>
  <c r="DK2" i="34"/>
  <c r="B208" i="30"/>
  <c r="GZ2" i="35"/>
  <c r="DT2" i="33"/>
  <c r="B200" i="30"/>
  <c r="B73" i="8"/>
  <c r="B54" i="31"/>
  <c r="B178" i="8"/>
  <c r="B30" i="30"/>
  <c r="EY2" i="33"/>
  <c r="B23" i="31"/>
  <c r="AJ2" i="34"/>
  <c r="B200" i="31"/>
  <c r="B206" i="8"/>
  <c r="BY2" i="34"/>
  <c r="B190" i="30"/>
  <c r="B218" i="8"/>
  <c r="B168" i="30"/>
  <c r="FL2" i="35"/>
  <c r="B183" i="30"/>
  <c r="B124" i="8"/>
  <c r="BB2" i="34"/>
  <c r="BX2" i="34"/>
  <c r="B99" i="30"/>
  <c r="CU2" i="35"/>
  <c r="B76" i="31"/>
  <c r="B178" i="30"/>
  <c r="O2" i="35"/>
  <c r="ED2" i="33"/>
  <c r="B177" i="31"/>
  <c r="BB2" i="33"/>
  <c r="B134" i="8"/>
  <c r="EZ2" i="34"/>
  <c r="GX2" i="33"/>
  <c r="BC2" i="33"/>
  <c r="B16" i="30"/>
  <c r="W2" i="34"/>
  <c r="GU2" i="35"/>
  <c r="GW2" i="35"/>
  <c r="B150" i="30"/>
  <c r="DA2" i="34"/>
  <c r="B188" i="30"/>
  <c r="FN2" i="35"/>
  <c r="B114" i="8"/>
  <c r="P2" i="35"/>
  <c r="B199" i="31"/>
  <c r="FC2" i="34"/>
  <c r="DX2" i="35"/>
  <c r="B159" i="31"/>
  <c r="GQ2" i="34"/>
  <c r="HJ2" i="33"/>
  <c r="EK2" i="35"/>
  <c r="B58" i="30"/>
  <c r="DI2" i="35"/>
  <c r="B100" i="30"/>
  <c r="B127" i="30"/>
  <c r="FB2" i="34"/>
  <c r="DW2" i="35"/>
  <c r="CH2" i="35"/>
  <c r="DM2" i="34"/>
  <c r="B113" i="30"/>
  <c r="BF2" i="35"/>
  <c r="FV2" i="33"/>
  <c r="B71" i="30"/>
  <c r="B95" i="8"/>
  <c r="CQ2" i="33"/>
  <c r="B29" i="30"/>
  <c r="B86" i="30"/>
  <c r="B57" i="30"/>
  <c r="FU2" i="33"/>
  <c r="BE2" i="35"/>
  <c r="B177" i="8"/>
  <c r="GR2" i="34"/>
  <c r="EL2" i="35"/>
  <c r="AC2" i="35"/>
  <c r="CV2" i="35"/>
  <c r="B77" i="31"/>
  <c r="B36" i="31"/>
  <c r="AD2" i="35"/>
  <c r="BS2" i="35"/>
  <c r="B142" i="30"/>
  <c r="CR2" i="33"/>
  <c r="B96" i="8"/>
  <c r="B219" i="8"/>
  <c r="HK2" i="33"/>
  <c r="B72" i="30"/>
  <c r="BT2" i="35"/>
  <c r="B43" i="30"/>
  <c r="B136" i="8"/>
  <c r="AQ2" i="35"/>
  <c r="EF2" i="33"/>
  <c r="DJ2" i="35"/>
  <c r="B114" i="30"/>
  <c r="DN2" i="34"/>
  <c r="B118" i="31"/>
  <c r="B137" i="8"/>
  <c r="AR2" i="35"/>
  <c r="B44" i="30"/>
  <c r="EG2" i="33"/>
  <c r="ET2" i="35"/>
  <c r="FC2" i="35"/>
  <c r="B159" i="30"/>
  <c r="Q2" i="33" l="1"/>
  <c r="AP2" i="33"/>
  <c r="B52" i="8"/>
  <c r="R2" i="33"/>
  <c r="B18" i="8"/>
  <c r="B32" i="8"/>
  <c r="B17" i="8"/>
  <c r="FG2" i="35"/>
  <c r="B163" i="30"/>
  <c r="B19" i="8"/>
  <c r="B165" i="30"/>
  <c r="S2" i="33"/>
  <c r="FI2" i="35"/>
  <c r="G26" i="43"/>
  <c r="J32" i="38" s="1"/>
</calcChain>
</file>

<file path=xl/sharedStrings.xml><?xml version="1.0" encoding="utf-8"?>
<sst xmlns="http://schemas.openxmlformats.org/spreadsheetml/2006/main" count="2418" uniqueCount="967">
  <si>
    <t>t6 YOBG Professional Services</t>
  </si>
  <si>
    <t>t6 YOBG CBOs</t>
  </si>
  <si>
    <t>t6 YOBG Fixed Assets</t>
  </si>
  <si>
    <t>t6 YOBG Admin</t>
  </si>
  <si>
    <t>t6YOBG Other Costs 1</t>
  </si>
  <si>
    <t>t6 YOBG Other Costs 2</t>
  </si>
  <si>
    <t>t6 YOBG Other Costs 3</t>
  </si>
  <si>
    <t>t6 YOBG Total Costs</t>
  </si>
  <si>
    <t>t6 JJCPA Salaries</t>
  </si>
  <si>
    <t>t6 JJCPA Services</t>
  </si>
  <si>
    <t>t6 JJCPA Professional Services</t>
  </si>
  <si>
    <t>t6 JJCPA CBOs</t>
  </si>
  <si>
    <t>t6 JJCPA Fixed Assets</t>
  </si>
  <si>
    <t>t6 JJCPA Admin</t>
  </si>
  <si>
    <t>t6 JJCPA Other Costs 1</t>
  </si>
  <si>
    <t>t6 JJCPA Other Costs 2</t>
  </si>
  <si>
    <t>t6 JJCPA Other Costs 3</t>
  </si>
  <si>
    <t>t6 JJCPA Total Costs</t>
  </si>
  <si>
    <t>t6 Other Salaries</t>
  </si>
  <si>
    <t>t6 Other Services</t>
  </si>
  <si>
    <t>t6 Other Professional Services</t>
  </si>
  <si>
    <t>t6 Other CBOs</t>
  </si>
  <si>
    <t>t6 Other Fixed Assets</t>
  </si>
  <si>
    <t>t6 Other Admin</t>
  </si>
  <si>
    <t>t6 Other Other Costs 1</t>
  </si>
  <si>
    <t>t6 Other Other Costs 2</t>
  </si>
  <si>
    <t>t6 Other Other Costs 3</t>
  </si>
  <si>
    <t>t6 Other Total Costs</t>
  </si>
  <si>
    <t>t6 Total Youth Served</t>
  </si>
  <si>
    <t>t6 YOBG Per Capita Costs</t>
  </si>
  <si>
    <t>t6 Total Per Capita Costs</t>
  </si>
  <si>
    <t>t6 Program Description</t>
  </si>
  <si>
    <t>t6 Youth Served 1</t>
  </si>
  <si>
    <t>t6 Youth Served 2</t>
  </si>
  <si>
    <t>t6 Youth Served 3</t>
  </si>
  <si>
    <t>t6 Youth Served 4</t>
  </si>
  <si>
    <t>Template 7 Program Name</t>
  </si>
  <si>
    <t xml:space="preserve">Template 7 Alternative Program Name </t>
  </si>
  <si>
    <t>t7 YOBG Salaries</t>
  </si>
  <si>
    <t>t7 YOBG Services</t>
  </si>
  <si>
    <t>t7 YOBG Professional Services</t>
  </si>
  <si>
    <t>t7 YOBG CBOs</t>
  </si>
  <si>
    <t>t7 YOBG Fixed Assets</t>
  </si>
  <si>
    <t>t7 YOBG Admin</t>
  </si>
  <si>
    <t>t7YOBG Other Costs 1</t>
  </si>
  <si>
    <t>t7 YOBG Other Costs 2</t>
  </si>
  <si>
    <t>t7 YOBG Other Costs 3</t>
  </si>
  <si>
    <t>t7 YOBG Total Costs</t>
  </si>
  <si>
    <t>t7 JJCPA Salaries</t>
  </si>
  <si>
    <t>t7 JJCPA Services</t>
  </si>
  <si>
    <t>t7 JJCPA Professional Services</t>
  </si>
  <si>
    <t>t7 JJCPA CBOs</t>
  </si>
  <si>
    <t>t7 JJCPA Fixed Assets</t>
  </si>
  <si>
    <t>t7 JJCPA Admin</t>
  </si>
  <si>
    <t>t7 JJCPA Other Costs 1</t>
  </si>
  <si>
    <t>t7 JJCPA Other Costs 2</t>
  </si>
  <si>
    <t>t7 JJCPA Other Costs 3</t>
  </si>
  <si>
    <t>t7 JJCPA Total Costs</t>
  </si>
  <si>
    <t>t7 Other Salaries</t>
  </si>
  <si>
    <t>t7 Other Services</t>
  </si>
  <si>
    <t>t7 Other Professional Services</t>
  </si>
  <si>
    <t>t7 Other CBOs</t>
  </si>
  <si>
    <t>t7 Other Fixed Assets</t>
  </si>
  <si>
    <t>t7 Other Admin</t>
  </si>
  <si>
    <t>t7 Other Other Costs 1</t>
  </si>
  <si>
    <t>t7 Other Other Costs 2</t>
  </si>
  <si>
    <t>t7 Other Other Costs 3</t>
  </si>
  <si>
    <t>t7 Other Total Costs</t>
  </si>
  <si>
    <t>t7 Total Youth Served</t>
  </si>
  <si>
    <t>t7 YOBG Per Capita Costs</t>
  </si>
  <si>
    <t>t7 Total Per Capita Costs</t>
  </si>
  <si>
    <t>t7 Program Description</t>
  </si>
  <si>
    <t>t7 Youth Served 1</t>
  </si>
  <si>
    <t>t7 Youth Served 2</t>
  </si>
  <si>
    <t>t7 Youth Served 3</t>
  </si>
  <si>
    <t>t7 Youth Served 4</t>
  </si>
  <si>
    <t>Template 8 Program Name</t>
  </si>
  <si>
    <t xml:space="preserve">Template 8 Alternative Program Name </t>
  </si>
  <si>
    <t>t8 YOBG Salaries</t>
  </si>
  <si>
    <t>t8 YOBG Services</t>
  </si>
  <si>
    <t>t8 YOBG Professional Services</t>
  </si>
  <si>
    <t>t8 YOBG CBOs</t>
  </si>
  <si>
    <t>t8 YOBG Fixed Assets</t>
  </si>
  <si>
    <t>t8 YOBG Admin</t>
  </si>
  <si>
    <t>t8YOBG Other Costs 1</t>
  </si>
  <si>
    <t>t8 YOBG Other Costs 2</t>
  </si>
  <si>
    <t>t8 YOBG Other Costs 3</t>
  </si>
  <si>
    <t>t8 YOBG Total Costs</t>
  </si>
  <si>
    <t>t8 JJCPA Salaries</t>
  </si>
  <si>
    <t>t8 JJCPA Services</t>
  </si>
  <si>
    <t>t8 JJCPA Professional Services</t>
  </si>
  <si>
    <t>t8 JJCPA CBOs</t>
  </si>
  <si>
    <t>t8 JJCPA Fixed Assets</t>
  </si>
  <si>
    <t>t8 JJCPA Admin</t>
  </si>
  <si>
    <t>t8 JJCPA Other Costs 1</t>
  </si>
  <si>
    <t>t8 JJCPA Other Costs 2</t>
  </si>
  <si>
    <t>t8 JJCPA Other Costs 3</t>
  </si>
  <si>
    <t>t8 JJCPA Total Costs</t>
  </si>
  <si>
    <t>t8 Other Salaries</t>
  </si>
  <si>
    <t>t8 Other Services</t>
  </si>
  <si>
    <t>t8 Other Professional Services</t>
  </si>
  <si>
    <t>t8 Other CBOs</t>
  </si>
  <si>
    <t>t8 Other Fixed Assets</t>
  </si>
  <si>
    <t>t8 Other Admin</t>
  </si>
  <si>
    <t>t8 Other Other Costs 1</t>
  </si>
  <si>
    <t>t8 Other Other Costs 2</t>
  </si>
  <si>
    <t>t8 Other Other Costs 3</t>
  </si>
  <si>
    <t>t8 Other Total Costs</t>
  </si>
  <si>
    <t>t8 Total Youth Served</t>
  </si>
  <si>
    <t>t8 YOBG Per Capita Costs</t>
  </si>
  <si>
    <t>t8 Total Per Capita Costs</t>
  </si>
  <si>
    <t>t8 Youth Served 1</t>
  </si>
  <si>
    <t>t8 Youth Served 2</t>
  </si>
  <si>
    <t>t8 Youth Served 3</t>
  </si>
  <si>
    <t>t8 Youth Served 4</t>
  </si>
  <si>
    <t>Template 9 Program Name</t>
  </si>
  <si>
    <t>Total Planned Youth Served</t>
  </si>
  <si>
    <t xml:space="preserve">Template 9 Alternative Program Name </t>
  </si>
  <si>
    <t>t9 YOBG Salaries</t>
  </si>
  <si>
    <t>t9 YOBG Services</t>
  </si>
  <si>
    <t>t9 YOBG Professional Services</t>
  </si>
  <si>
    <t>t9 YOBG CBOs</t>
  </si>
  <si>
    <t>t9 YOBG Fixed Assets</t>
  </si>
  <si>
    <t>t9 YOBG Admin</t>
  </si>
  <si>
    <t>t9YOBG Other Costs 1</t>
  </si>
  <si>
    <t>t9 YOBG Other Costs 2</t>
  </si>
  <si>
    <t>t9 YOBG Other Costs 3</t>
  </si>
  <si>
    <t>t9 YOBG Total Costs</t>
  </si>
  <si>
    <t>t9 JJCPA Salaries</t>
  </si>
  <si>
    <t>t9 JJCPA Services</t>
  </si>
  <si>
    <t>t9 JJCPA Professional Services</t>
  </si>
  <si>
    <t>t9 JJCPA CBOs</t>
  </si>
  <si>
    <t>t9 JJCPA Fixed Assets</t>
  </si>
  <si>
    <t>t9 JJCPA Admin</t>
  </si>
  <si>
    <t>t9 JJCPA Other Costs 1</t>
  </si>
  <si>
    <t>t9 JJCPA Other Costs 2</t>
  </si>
  <si>
    <t>t9 JJCPA Other Costs 3</t>
  </si>
  <si>
    <t>t9 JJCPA Total Costs</t>
  </si>
  <si>
    <t>t9 Other Salaries</t>
  </si>
  <si>
    <t>t9 Other Services</t>
  </si>
  <si>
    <t>t9 Other Professional Services</t>
  </si>
  <si>
    <t>t9 Other CBOs</t>
  </si>
  <si>
    <t>t9 Other Fixed Assets</t>
  </si>
  <si>
    <t>t9 Other Admin</t>
  </si>
  <si>
    <t>t9 Other Other Costs 1</t>
  </si>
  <si>
    <t>t9 Other Other Costs 2</t>
  </si>
  <si>
    <t>t9 Other Other Costs 3</t>
  </si>
  <si>
    <t>t9 Other Total Costs</t>
  </si>
  <si>
    <t>t9 Total Youth Served</t>
  </si>
  <si>
    <t>t9 YOBG Per Capita Costs</t>
  </si>
  <si>
    <t>t9 Total Per Capita Costs</t>
  </si>
  <si>
    <t>t9 Program Description</t>
  </si>
  <si>
    <t>t8 Program Description</t>
  </si>
  <si>
    <t>t9 Youth Served 1</t>
  </si>
  <si>
    <t>t9 Youth Served 2</t>
  </si>
  <si>
    <t>t9 Youth Served 3</t>
  </si>
  <si>
    <t>t9 Youth Served 4</t>
  </si>
  <si>
    <t>t10 YOBG Per Capita Costs</t>
  </si>
  <si>
    <t>Template 10 Program Name</t>
  </si>
  <si>
    <t>t1otherexpenses1</t>
  </si>
  <si>
    <t>t1otherexpenses2</t>
  </si>
  <si>
    <t>t1otherexpenses3</t>
  </si>
  <si>
    <t>t2otherexpenses1</t>
  </si>
  <si>
    <t>t2otherexpenses2</t>
  </si>
  <si>
    <t>t2otherexpenses3</t>
  </si>
  <si>
    <t>t3otherexpenses1</t>
  </si>
  <si>
    <t>t3otherexpenses2</t>
  </si>
  <si>
    <t>t3otherexpenses3</t>
  </si>
  <si>
    <t>t4otherexpenses1</t>
  </si>
  <si>
    <t>t4otherexpenses2</t>
  </si>
  <si>
    <t>t4otherexpenses3</t>
  </si>
  <si>
    <t>t5otherexpenses1</t>
  </si>
  <si>
    <t>t5otherexpenses2</t>
  </si>
  <si>
    <t>t5otherexpenses3</t>
  </si>
  <si>
    <t>t6otherexpenses1</t>
  </si>
  <si>
    <t>t6otherexpenses2</t>
  </si>
  <si>
    <t>t6otherexpenses3</t>
  </si>
  <si>
    <t>t7otherexpenses1</t>
  </si>
  <si>
    <t>t7otherexpenses2</t>
  </si>
  <si>
    <t>t7otherexpenses3</t>
  </si>
  <si>
    <t>t8otherexpenses1</t>
  </si>
  <si>
    <t>t8otherexpenses2</t>
  </si>
  <si>
    <t>t8otherexpenses3</t>
  </si>
  <si>
    <t>t9otherexpenses1</t>
  </si>
  <si>
    <t>t9otherexpenses2</t>
  </si>
  <si>
    <t>t9otherexpenses3</t>
  </si>
  <si>
    <t>t10otherexpenses1</t>
  </si>
  <si>
    <t>t10otherexpenses2</t>
  </si>
  <si>
    <t>t10otherexpenses3</t>
  </si>
  <si>
    <t xml:space="preserve">Template 10 Alternative Program Name </t>
  </si>
  <si>
    <t>STRATEGY FOR REALIGNED YOUTH</t>
  </si>
  <si>
    <t>3.  In what ways, if any, does your strategy differ from your strategy for dealing with other offenders?</t>
  </si>
  <si>
    <t>Primary Contact</t>
  </si>
  <si>
    <t>Primary Contact Email</t>
  </si>
  <si>
    <r>
      <t>3.</t>
    </r>
    <r>
      <rPr>
        <sz val="10"/>
        <rFont val="Arial"/>
        <family val="2"/>
      </rPr>
      <t xml:space="preserve"> Describe the nature of the coordination between JJCPA and YOBG.  If none, explain why.  </t>
    </r>
  </si>
  <si>
    <t xml:space="preserve">Welfare and Institutions Code Section 1961(a)(4) requires each county to provide a description of any regional agreements or arrangements to be supported by YOBG funds.  Use the space below to describe any such regional agreements or arrangements.  Enter "N/A" if none exist or are planned. </t>
  </si>
  <si>
    <r>
      <t xml:space="preserve">    provided.)  </t>
    </r>
    <r>
      <rPr>
        <b/>
        <sz val="10"/>
        <rFont val="Arial"/>
        <family val="2"/>
      </rPr>
      <t/>
    </r>
  </si>
  <si>
    <t>COUNTY NAME</t>
  </si>
  <si>
    <t>DATE OF REPORT</t>
  </si>
  <si>
    <t>Provide an estimate of the number of times each of the below assessment instruments will be administered and paid for in whole or in part with YOBG funds during the 2011-2012 fiscal year.  Record the name of any instrument not listed and provide the corresponding estimate.</t>
  </si>
  <si>
    <t>ESTIMATED NUMBER OF ASSESSMENTS</t>
  </si>
  <si>
    <t>INSTRUMENT</t>
  </si>
  <si>
    <t>Correctional Offender Manager Profile of Alternative Sanctions (COMPAS)</t>
  </si>
  <si>
    <t>Juvenile Assessment and Intervention System (JAIS)</t>
  </si>
  <si>
    <t>Level of Severity Inventory - Revised (LSI-R)</t>
  </si>
  <si>
    <t>Massachusetts Youth Screening Instrument - Second Version (MAYSI-2)</t>
  </si>
  <si>
    <t>Juvenile Risk Assessment (and Re-Assessment) (NIC)</t>
  </si>
  <si>
    <t>Positive Achievement Change Tool (PACT)</t>
  </si>
  <si>
    <t>Risk and Resiliency Checkup (RRC)</t>
  </si>
  <si>
    <t>Youth Level of Service/Case Management Inventory (YLS/CMI)</t>
  </si>
  <si>
    <t>Other (Specify) &gt;&gt;&gt;:</t>
  </si>
  <si>
    <t>Other Assessment Instrument Name4</t>
  </si>
  <si>
    <t>Administrations of Other Assessment Instrument4</t>
  </si>
  <si>
    <t>REGIONAL AGREEMENTS</t>
  </si>
  <si>
    <r>
      <t xml:space="preserve">Services and Supplies </t>
    </r>
    <r>
      <rPr>
        <sz val="10"/>
        <rFont val="Arial"/>
        <family val="2"/>
      </rPr>
      <t>includes expenditures for services and supplies necessary for the operation of the project (e.g., lease payments for vehicles and/or office space, office supplies) and/or services provided to participants and/or family members as part of the project's design (e.g., basic necessities such as food, clothing, transportation, and shelter/housing; and related costs).</t>
    </r>
  </si>
  <si>
    <t>t1goals</t>
  </si>
  <si>
    <t>t1funds</t>
  </si>
  <si>
    <t>Primary Contact Phone</t>
  </si>
  <si>
    <t>Primary Contact Title</t>
  </si>
  <si>
    <t>t1 Youth Served 5</t>
  </si>
  <si>
    <t>t1 Youth Served 6</t>
  </si>
  <si>
    <t>t2 Youth Served 5</t>
  </si>
  <si>
    <t>t2 youth Served 6</t>
  </si>
  <si>
    <t>t3 Youth Served 5</t>
  </si>
  <si>
    <t>t3 Youth Served 6</t>
  </si>
  <si>
    <t>t4 Youth Served 5</t>
  </si>
  <si>
    <t>t4 Youth Served 6</t>
  </si>
  <si>
    <t>t5 Youth Served 5</t>
  </si>
  <si>
    <t>t5 Youth Served 6</t>
  </si>
  <si>
    <t>t6 Youth Served 5</t>
  </si>
  <si>
    <t>t6 Youth Served 6</t>
  </si>
  <si>
    <t>t7 Youth Served 5</t>
  </si>
  <si>
    <t>t7 Youth served 6</t>
  </si>
  <si>
    <t>t8 Youth Served 5</t>
  </si>
  <si>
    <t>t8 Youth Served 6</t>
  </si>
  <si>
    <t>t9 Youth Served 5</t>
  </si>
  <si>
    <t>t9 Youth Served 6</t>
  </si>
  <si>
    <t>t10 Youth Served 5</t>
  </si>
  <si>
    <t>t10 Youth Served 6</t>
  </si>
  <si>
    <t>ASI</t>
  </si>
  <si>
    <t>COMPAS</t>
  </si>
  <si>
    <t>JAIS</t>
  </si>
  <si>
    <t>LSI-R</t>
  </si>
  <si>
    <t>MAYSI-2</t>
  </si>
  <si>
    <t>MAYSI</t>
  </si>
  <si>
    <t>NIC</t>
  </si>
  <si>
    <t>PACT</t>
  </si>
  <si>
    <t>RRC</t>
  </si>
  <si>
    <t>YLS/CMI</t>
  </si>
  <si>
    <t>Other Assessment Instrument Name1</t>
  </si>
  <si>
    <t>Explanation of Discrepancy</t>
  </si>
  <si>
    <t>Other Assessment Instrument Name2</t>
  </si>
  <si>
    <t>Other Assessment Instrument Name3</t>
  </si>
  <si>
    <t>Aministrations of Other Assessment Instrument1</t>
  </si>
  <si>
    <t>Administrations of Other Assessment Instrument2</t>
  </si>
  <si>
    <t>Administrations of Other Assessment Instrument3</t>
  </si>
  <si>
    <t>Strategy for Realligned Youth</t>
  </si>
  <si>
    <t>Strategy Narrative</t>
  </si>
  <si>
    <t>Strategy Differences with Other Strategies</t>
  </si>
  <si>
    <t>Plans for Strategy</t>
  </si>
  <si>
    <t>JJCPA coordinated with YOBG</t>
  </si>
  <si>
    <t>JJCPA JJCC Aware of YOBG Expenditures</t>
  </si>
  <si>
    <t>Regional Agreements</t>
  </si>
  <si>
    <t>JJCPA and YOBG coordination</t>
  </si>
  <si>
    <t>Total Planned YOBG Expenditures</t>
  </si>
  <si>
    <t>Total Planned JJCAP Expenditures</t>
  </si>
  <si>
    <t>Total Planned Other Expenditures</t>
  </si>
  <si>
    <t>t2goals</t>
  </si>
  <si>
    <t>t2funds</t>
  </si>
  <si>
    <t>t3goals</t>
  </si>
  <si>
    <t>t3funds</t>
  </si>
  <si>
    <t>t4goals</t>
  </si>
  <si>
    <t>t4funds</t>
  </si>
  <si>
    <t>t5goals</t>
  </si>
  <si>
    <t>t5funds</t>
  </si>
  <si>
    <t>t6goals</t>
  </si>
  <si>
    <t>t6funds</t>
  </si>
  <si>
    <t>t7goals</t>
  </si>
  <si>
    <t>t7funds</t>
  </si>
  <si>
    <t>t8goals</t>
  </si>
  <si>
    <t>t8funds</t>
  </si>
  <si>
    <t>t9goals</t>
  </si>
  <si>
    <t>t9funds</t>
  </si>
  <si>
    <t>t10goals</t>
  </si>
  <si>
    <t>t10funds</t>
  </si>
  <si>
    <t>COORDINATION WITH JJCPA</t>
  </si>
  <si>
    <t>t1barrier</t>
  </si>
  <si>
    <t>t2barrier</t>
  </si>
  <si>
    <t>t3barrier</t>
  </si>
  <si>
    <t>t4barrier</t>
  </si>
  <si>
    <t>t5barrier</t>
  </si>
  <si>
    <t>t6barrier</t>
  </si>
  <si>
    <t>t7barrier</t>
  </si>
  <si>
    <t>t8barrier</t>
  </si>
  <si>
    <t>t9barrier</t>
  </si>
  <si>
    <t>t10barrier</t>
  </si>
  <si>
    <t>Total 0708 Allocations</t>
  </si>
  <si>
    <t>Total 0809 Allocations</t>
  </si>
  <si>
    <t>Total 0910 Allocations</t>
  </si>
  <si>
    <t>Discrepancy</t>
  </si>
  <si>
    <t>Total 10/11 Allocations</t>
  </si>
  <si>
    <t xml:space="preserve">t1 JJCPA Exp </t>
  </si>
  <si>
    <t>t1 Other Exp</t>
  </si>
  <si>
    <t xml:space="preserve">t2 JJCPA Exp </t>
  </si>
  <si>
    <t>t2 Other Exp</t>
  </si>
  <si>
    <t xml:space="preserve">t3 JJCPA Exp </t>
  </si>
  <si>
    <t>t3 Other Exp</t>
  </si>
  <si>
    <t xml:space="preserve">t4 JJCPA Exp </t>
  </si>
  <si>
    <t>t4 Other Exp</t>
  </si>
  <si>
    <t xml:space="preserve">t5 JJCPA Exp </t>
  </si>
  <si>
    <t>t5 Other Exp</t>
  </si>
  <si>
    <t xml:space="preserve">t6 JJCPA Exp </t>
  </si>
  <si>
    <t>t6 Other Exp</t>
  </si>
  <si>
    <t xml:space="preserve">t7 JJCPA Exp </t>
  </si>
  <si>
    <t>t7 Other Exp</t>
  </si>
  <si>
    <t xml:space="preserve">t8 JJCPA Exp </t>
  </si>
  <si>
    <t>t8 Other Exp</t>
  </si>
  <si>
    <t xml:space="preserve">t9 JJCPA Exp </t>
  </si>
  <si>
    <t>t9 Other Exp</t>
  </si>
  <si>
    <t xml:space="preserve">t10 JJCPA Exp </t>
  </si>
  <si>
    <t>t10 Other Exp</t>
  </si>
  <si>
    <r>
      <t xml:space="preserve">    (Limit your response to the space provided.)  </t>
    </r>
    <r>
      <rPr>
        <b/>
        <sz val="10"/>
        <rFont val="Arial"/>
        <family val="2"/>
      </rPr>
      <t/>
    </r>
  </si>
  <si>
    <t>YOBG-FUNDED ASSESSMENTS</t>
  </si>
  <si>
    <t>Mono</t>
  </si>
  <si>
    <t>Del Norte</t>
  </si>
  <si>
    <t>2010-2011YOBG Actual Expenditures For:</t>
  </si>
  <si>
    <t>Re-Entry or Aftercare Services</t>
  </si>
  <si>
    <t xml:space="preserve">4.  What plans, if any, do you have for developing a strategy for dealing with non-707(b) offenders? </t>
  </si>
  <si>
    <t>t10 YOBG Salaries</t>
  </si>
  <si>
    <t>t10 YOBG Services</t>
  </si>
  <si>
    <t>t10 YOBG Professional Services</t>
  </si>
  <si>
    <t>t10 YOBG CBOs</t>
  </si>
  <si>
    <t>t10 YOBG Fixed Assets</t>
  </si>
  <si>
    <t>t10 YOBG Admin</t>
  </si>
  <si>
    <t>t10YOBG Other Costs 1</t>
  </si>
  <si>
    <t>t10 YOBG Other Costs 2</t>
  </si>
  <si>
    <t>t10 YOBG Other Costs 3</t>
  </si>
  <si>
    <t>t10 YOBG Total Costs</t>
  </si>
  <si>
    <t>t10 JJCPA Salaries</t>
  </si>
  <si>
    <t>t10 JJCPA Services</t>
  </si>
  <si>
    <t>t10 JJCPA Professional Services</t>
  </si>
  <si>
    <t>t10 JJCPA CBOs</t>
  </si>
  <si>
    <t>t10 JJCPA Fixed Assets</t>
  </si>
  <si>
    <t>t10 JJCPA Admin</t>
  </si>
  <si>
    <t>t10 JJCPA Other Costs 1</t>
  </si>
  <si>
    <t>t10 JJCPA Other Costs 2</t>
  </si>
  <si>
    <t>t10 JJCPA Other Costs 3</t>
  </si>
  <si>
    <t>t10 JJCPA Total Costs</t>
  </si>
  <si>
    <t>t10 Other Salaries</t>
  </si>
  <si>
    <t>t10 Other Services</t>
  </si>
  <si>
    <t>t10 Other Professional Services</t>
  </si>
  <si>
    <t>t10 Other CBOs</t>
  </si>
  <si>
    <t>t10 Other Fixed Assets</t>
  </si>
  <si>
    <t>t10 Other Admin</t>
  </si>
  <si>
    <t>t10 Other Other Costs 1</t>
  </si>
  <si>
    <t>t10 Other Other Costs 2</t>
  </si>
  <si>
    <t>t10 Other Other Costs 3</t>
  </si>
  <si>
    <t>t10 Other Total Costs</t>
  </si>
  <si>
    <t>t10 Total Youth Served</t>
  </si>
  <si>
    <t>t10 Total Per Capita Costs</t>
  </si>
  <si>
    <t>t10 Program Description</t>
  </si>
  <si>
    <t>t10 Youth Served 1</t>
  </si>
  <si>
    <t>t10 Youth Served 2</t>
  </si>
  <si>
    <t>t10 Youth Served 3</t>
  </si>
  <si>
    <t>t10 Youth Served 4</t>
  </si>
  <si>
    <t>Secondary Contact Name</t>
  </si>
  <si>
    <t>Secondary Contact Title</t>
  </si>
  <si>
    <t>Secondary Contact Phone</t>
  </si>
  <si>
    <t>Secondary Contact Email</t>
  </si>
  <si>
    <t>Addiction Severity Index (ASI)</t>
  </si>
  <si>
    <t>Back on Track</t>
  </si>
  <si>
    <t>Massachusetts Youth Screening Instrument (MAYSI)</t>
  </si>
  <si>
    <t>WIC 602 Youth</t>
  </si>
  <si>
    <t>WIC 601 Youth</t>
  </si>
  <si>
    <t>WIC 300/600 Youth</t>
  </si>
  <si>
    <t>DEJ Youth</t>
  </si>
  <si>
    <t>Informal Probationers (Including 654's)</t>
  </si>
  <si>
    <t>N/A (No Youth Served)</t>
  </si>
  <si>
    <t>Felony Offenders</t>
  </si>
  <si>
    <t>Misdemeanor Offenders</t>
  </si>
  <si>
    <t>Violent Offenders</t>
  </si>
  <si>
    <t>Drug Offenders</t>
  </si>
  <si>
    <t>Sex Offenders</t>
  </si>
  <si>
    <t>In Custody Offenders</t>
  </si>
  <si>
    <t xml:space="preserve">Repeat Offenders </t>
  </si>
  <si>
    <t>Offenders with Mental Health Needs</t>
  </si>
  <si>
    <t>Offenders with Gang Affiliations</t>
  </si>
  <si>
    <t>Female Offenders</t>
  </si>
  <si>
    <t>Male Offenders</t>
  </si>
  <si>
    <t>"At Risk" Juveniles</t>
  </si>
  <si>
    <t xml:space="preserve">Welfare and Institutions Code Section 1961(a)(3) requires each county to provide a description of how its </t>
  </si>
  <si>
    <t xml:space="preserve">Juvenile Justice Development Plan relates to or supports its overall strategy for dealing with youthful offenders </t>
  </si>
  <si>
    <t xml:space="preserve">who have not committed an offense described in WIC 707(b) or PC 290.008 and are no longer eligible for </t>
  </si>
  <si>
    <t xml:space="preserve">commitment to the Division of Juvenile Justice facilities.  In the spaces below provide the requested information  </t>
  </si>
  <si>
    <t>concerning your strategy for dealing with non-707(b) offenders.</t>
  </si>
  <si>
    <t>1.  Does you county have a strategy for dealing with non-707(b) offenders?</t>
  </si>
  <si>
    <t xml:space="preserve">2.  Briefly describe your strategy for dealing with non-707(b) offenders.  (Limit your response to the space </t>
  </si>
  <si>
    <t xml:space="preserve">Welfare and Institutions Code Section 1961(a)(5) requires each county to provide a description of how the </t>
  </si>
  <si>
    <t xml:space="preserve">programs, placements, services or strategies in its Juvenile Justice Development Plan coordinate with   </t>
  </si>
  <si>
    <t xml:space="preserve">programs identified in the county's Juvenile Justice Crime Prevention Act (JJCPA) - Comprehensive </t>
  </si>
  <si>
    <t>Multi - Agency Plan.</t>
  </si>
  <si>
    <r>
      <t>1.</t>
    </r>
    <r>
      <rPr>
        <sz val="9"/>
        <rFont val="Arial"/>
        <family val="2"/>
      </rPr>
      <t xml:space="preserve">  Is your Juvenile Justice Coordinating Council aware of your planned YOBG expenditures?</t>
    </r>
  </si>
  <si>
    <r>
      <t>2.</t>
    </r>
    <r>
      <rPr>
        <sz val="10"/>
        <rFont val="Arial"/>
        <family val="2"/>
      </rPr>
      <t xml:space="preserve"> Were there specific discussions related to coordination between JJCPA and YOBG?</t>
    </r>
  </si>
  <si>
    <r>
      <t xml:space="preserve">This concludes the application.  </t>
    </r>
    <r>
      <rPr>
        <b/>
        <sz val="10"/>
        <rFont val="Arial"/>
        <family val="2"/>
      </rPr>
      <t xml:space="preserve">Save the file using the naming convention specified in the first  </t>
    </r>
  </si>
  <si>
    <t>worksheet ("CONTACT INFORMATION") and attach the file to an email to JJDP@cdcr.ca.gov.</t>
  </si>
  <si>
    <t>Yes</t>
  </si>
  <si>
    <t>No</t>
  </si>
  <si>
    <t>Alameda</t>
  </si>
  <si>
    <t>Amador</t>
  </si>
  <si>
    <t>Butte</t>
  </si>
  <si>
    <t>Calaveras</t>
  </si>
  <si>
    <t>Colusa</t>
  </si>
  <si>
    <t>Contra Costa</t>
  </si>
  <si>
    <t>El Dorado</t>
  </si>
  <si>
    <t>Fresno</t>
  </si>
  <si>
    <t>Glenn</t>
  </si>
  <si>
    <t>Humboldt</t>
  </si>
  <si>
    <t>Imperial</t>
  </si>
  <si>
    <t>Inyo</t>
  </si>
  <si>
    <t>Kern</t>
  </si>
  <si>
    <t>Kings</t>
  </si>
  <si>
    <t>Lake</t>
  </si>
  <si>
    <t>Lassen</t>
  </si>
  <si>
    <t>Los Angeles</t>
  </si>
  <si>
    <t>Madera</t>
  </si>
  <si>
    <t>Marin</t>
  </si>
  <si>
    <t>Mariposa</t>
  </si>
  <si>
    <t>Mendocino</t>
  </si>
  <si>
    <t>Merced</t>
  </si>
  <si>
    <t>Modoc</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</si>
  <si>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</si>
  <si>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</si>
  <si>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</si>
  <si>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</si>
  <si>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</si>
  <si>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</si>
  <si>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</si>
  <si>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</si>
  <si>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</si>
  <si>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</si>
  <si>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</si>
  <si>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</si>
  <si>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</si>
  <si>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</si>
  <si>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</si>
  <si>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</si>
  <si>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</si>
  <si>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</si>
  <si>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</si>
  <si>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Siskiyou</t>
  </si>
  <si>
    <t>Solano</t>
  </si>
  <si>
    <t>Sonoma</t>
  </si>
  <si>
    <t>Stanislaus</t>
  </si>
  <si>
    <t>Sutter</t>
  </si>
  <si>
    <t>Tehama</t>
  </si>
  <si>
    <t>Trinity</t>
  </si>
  <si>
    <t>Tulare</t>
  </si>
  <si>
    <t>Tuolumne</t>
  </si>
  <si>
    <t>Ventura</t>
  </si>
  <si>
    <t>Yolo</t>
  </si>
  <si>
    <t>Yuba</t>
  </si>
  <si>
    <t>Sierra</t>
  </si>
  <si>
    <t>Alpine</t>
  </si>
  <si>
    <t>TELEPHONE NUMBER</t>
  </si>
  <si>
    <t>List of Expenditure Categories and Associated Numerical Codes</t>
  </si>
  <si>
    <t>Placements</t>
  </si>
  <si>
    <t>Code</t>
  </si>
  <si>
    <t>Expenditure Category</t>
  </si>
  <si>
    <t>Juvenile Hall</t>
  </si>
  <si>
    <t>Ranch</t>
  </si>
  <si>
    <t>Camp</t>
  </si>
  <si>
    <t>Other Secure/Semi-Secure Rehab Facility</t>
  </si>
  <si>
    <t>Private Residential Care</t>
  </si>
  <si>
    <t>Home on Probation</t>
  </si>
  <si>
    <t>Other Placement</t>
  </si>
  <si>
    <t>After School Services</t>
  </si>
  <si>
    <t>Aggression Replacement Therapy</t>
  </si>
  <si>
    <t>Anger Management Counseling/Treatment</t>
  </si>
  <si>
    <t>Development of Case Plan</t>
  </si>
  <si>
    <t>Community Service</t>
  </si>
  <si>
    <t>Day or Evening Treatment Program</t>
  </si>
  <si>
    <t>Detention Assessment(s)</t>
  </si>
  <si>
    <t>Electronic Monitoring</t>
  </si>
  <si>
    <t>Family Counseling</t>
  </si>
  <si>
    <t>Functional Family Therapy</t>
  </si>
  <si>
    <t>Gang Intervention</t>
  </si>
  <si>
    <t>Gender Specific Programming for Girls</t>
  </si>
  <si>
    <t>Gender Specific Programming for Boys</t>
  </si>
  <si>
    <t>Group Counseling</t>
  </si>
  <si>
    <t>Intensive Probation Supervision</t>
  </si>
  <si>
    <t>Job Placement</t>
  </si>
  <si>
    <t>Job Readiness Training</t>
  </si>
  <si>
    <t>Life/Independent Living Skills Training/Education</t>
  </si>
  <si>
    <t>Individual Mental Health Counseling</t>
  </si>
  <si>
    <t>Mental Health Screening</t>
  </si>
  <si>
    <t>Mentoring</t>
  </si>
  <si>
    <t>Monetary Incentives</t>
  </si>
  <si>
    <t>Parenting Education</t>
  </si>
  <si>
    <t>Pro-Social Skills Training</t>
  </si>
  <si>
    <t>Recreational Activities</t>
  </si>
  <si>
    <t>Restitution</t>
  </si>
  <si>
    <t>Restorative Justice</t>
  </si>
  <si>
    <t>Risk and/or Needs Assessment</t>
  </si>
  <si>
    <t>Special Education Services</t>
  </si>
  <si>
    <t>Substance Abuse Screening</t>
  </si>
  <si>
    <t>Tutoring</t>
  </si>
  <si>
    <t>Vocational Training</t>
  </si>
  <si>
    <t>Staff Training/Professional Development</t>
  </si>
  <si>
    <t>Capital Improvements</t>
  </si>
  <si>
    <t>Equipment</t>
  </si>
  <si>
    <t>Contract Services</t>
  </si>
  <si>
    <t>Other Procurements</t>
  </si>
  <si>
    <t>Other</t>
  </si>
  <si>
    <t>Staff Salaries/Benefits</t>
  </si>
  <si>
    <t xml:space="preserve">Direct </t>
  </si>
  <si>
    <t>Services</t>
  </si>
  <si>
    <t>Transitional Living Services/Placement</t>
  </si>
  <si>
    <t>Other Direct Service</t>
  </si>
  <si>
    <t>Capacity</t>
  </si>
  <si>
    <t>Building/</t>
  </si>
  <si>
    <t>Maintenance</t>
  </si>
  <si>
    <t>Activities</t>
  </si>
  <si>
    <t>A.  CONTACT INFORMATION</t>
  </si>
  <si>
    <t>NAME</t>
  </si>
  <si>
    <t>EMAIL ADDRESS</t>
  </si>
  <si>
    <t>TITLE</t>
  </si>
  <si>
    <t>COMPLETING THE REMAINDER OF THE REPORT:</t>
  </si>
  <si>
    <t>Salaries &amp; Benefits:</t>
  </si>
  <si>
    <t>Services &amp; Supplies:</t>
  </si>
  <si>
    <t>Professional Services:</t>
  </si>
  <si>
    <t>Community Based Organizations:</t>
  </si>
  <si>
    <t>Fixed Assets/Equipment:</t>
  </si>
  <si>
    <t>Administrative Overhead:</t>
  </si>
  <si>
    <t>YOBG Funds</t>
  </si>
  <si>
    <t>TOTAL:</t>
  </si>
  <si>
    <t>JJCPA Funds</t>
  </si>
  <si>
    <t>Alcohol and Drug Treatment</t>
  </si>
  <si>
    <t>Other Expenditures (List Below):</t>
  </si>
  <si>
    <r>
      <t>Salaries and Benefits</t>
    </r>
    <r>
      <rPr>
        <sz val="10"/>
        <rFont val="Arial"/>
        <family val="2"/>
      </rPr>
      <t xml:space="preserve"> includes all expenditures related to paying the salaries and benefits of county probation (or other county department) employees who were directly involved in grant-related activities. </t>
    </r>
  </si>
  <si>
    <t>County</t>
  </si>
  <si>
    <t>Address</t>
  </si>
  <si>
    <t>Date of Report</t>
  </si>
  <si>
    <t>Chief</t>
  </si>
  <si>
    <t>Chief Phone</t>
  </si>
  <si>
    <t>City</t>
  </si>
  <si>
    <t>Chief Email</t>
  </si>
  <si>
    <t>Zip Code</t>
  </si>
  <si>
    <t>t1 YOBG Salaries</t>
  </si>
  <si>
    <t>t1 YOBG Services</t>
  </si>
  <si>
    <t>t1 YOBG Professional Services</t>
  </si>
  <si>
    <t>t1 YOBG CBOs</t>
  </si>
  <si>
    <t>t1 YOBG Fixed Assets</t>
  </si>
  <si>
    <t>t1 YOBG Admin</t>
  </si>
  <si>
    <t>t1 YOBG Other Costs 1</t>
  </si>
  <si>
    <t>t1 YOBG Other Costs 2</t>
  </si>
  <si>
    <t>t1 YOBG Total Costs</t>
  </si>
  <si>
    <t>t1 JJCPA Salaries</t>
  </si>
  <si>
    <t>t1 JJCPA Services</t>
  </si>
  <si>
    <t>t1 JJCPA Professional Services</t>
  </si>
  <si>
    <t>t1 JJCPA CBOs</t>
  </si>
  <si>
    <t>t1 JJCPA Fixed Assets</t>
  </si>
  <si>
    <t>t1 JJCPA Admin</t>
  </si>
  <si>
    <t>t1 JJCPA Other Costs 1</t>
  </si>
  <si>
    <t>t1 JJCPA Other Costs 2</t>
  </si>
  <si>
    <t>t1 JJCPA Total Costs</t>
  </si>
  <si>
    <t>t1 Other Salaries</t>
  </si>
  <si>
    <t>t1 Other Services</t>
  </si>
  <si>
    <t>t1 Other Professional Services</t>
  </si>
  <si>
    <t>t1 Other CBOs</t>
  </si>
  <si>
    <t>t1 Other Fixed Assets</t>
  </si>
  <si>
    <t>t1 Other Admin</t>
  </si>
  <si>
    <t>t1 Other Other Costs 1</t>
  </si>
  <si>
    <t>t1 Other Other Costs 2</t>
  </si>
  <si>
    <t>t1 Other Total Costs</t>
  </si>
  <si>
    <t>t1 Total Youth Served</t>
  </si>
  <si>
    <t>t1 YOBG Per Capita Costs</t>
  </si>
  <si>
    <t>t1 Total Per Capita Costs</t>
  </si>
  <si>
    <t>t1 Program Description</t>
  </si>
  <si>
    <t>t1 Youth Served 1</t>
  </si>
  <si>
    <t>t1 Youth Served 2</t>
  </si>
  <si>
    <t>t1 Youth Served 3</t>
  </si>
  <si>
    <t>t1 Youth Served 4</t>
  </si>
  <si>
    <t>t1 YOBG Other Costs 3</t>
  </si>
  <si>
    <t>t1 JJCPA Other Costs 3</t>
  </si>
  <si>
    <t>t1 Other Other Costs 3</t>
  </si>
  <si>
    <t>Template 1 Program Name</t>
  </si>
  <si>
    <t xml:space="preserve">Template 1 Alternative Program Name </t>
  </si>
  <si>
    <t>Template 2 Program Name</t>
  </si>
  <si>
    <t xml:space="preserve">Template 2 Alternative Program Name </t>
  </si>
  <si>
    <t>t2 YOBG Salaries</t>
  </si>
  <si>
    <t>t2 YOBG Services</t>
  </si>
  <si>
    <t>t2 YOBG Professional Services</t>
  </si>
  <si>
    <t>t2 YOBG CBOs</t>
  </si>
  <si>
    <t>t2 YOBG Fixed Assets</t>
  </si>
  <si>
    <t>t2 YOBG Admin</t>
  </si>
  <si>
    <t>t2YOBG Other Costs 1</t>
  </si>
  <si>
    <t>t2 YOBG Other Costs 2</t>
  </si>
  <si>
    <t>t2 YOBG Other Costs 3</t>
  </si>
  <si>
    <t>t2 YOBG Total Costs</t>
  </si>
  <si>
    <t>t2 JJCPA Salaries</t>
  </si>
  <si>
    <t>t2 JJCPA Services</t>
  </si>
  <si>
    <t>t2 JJCPA Professional Services</t>
  </si>
  <si>
    <t>t2 JJCPA CBOs</t>
  </si>
  <si>
    <t>t2 JJCPA Fixed Assets</t>
  </si>
  <si>
    <t>t2 JJCPA Admin</t>
  </si>
  <si>
    <t>t2 JJCPA Other Costs 1</t>
  </si>
  <si>
    <t>t2 JJCPA Other Costs 2</t>
  </si>
  <si>
    <t>t2 JJCPA Other Costs 3</t>
  </si>
  <si>
    <t>t2 JJCPA Total Costs</t>
  </si>
  <si>
    <t>t2 Other Salaries</t>
  </si>
  <si>
    <t>t2 Other Services</t>
  </si>
  <si>
    <t>t2 Other Professional Services</t>
  </si>
  <si>
    <t>t2 Other CBOs</t>
  </si>
  <si>
    <t>t2 Other Fixed Assets</t>
  </si>
  <si>
    <t>t2 Other Admin</t>
  </si>
  <si>
    <t>t2 Other Other Costs 1</t>
  </si>
  <si>
    <t>t2 Other Other Costs 2</t>
  </si>
  <si>
    <t>t2 Other Other Costs 3</t>
  </si>
  <si>
    <t>t2 Other Total Costs</t>
  </si>
  <si>
    <t>t2 Total Youth Served</t>
  </si>
  <si>
    <t>t2 YOBG Per Capita Costs</t>
  </si>
  <si>
    <t>t2 Total Per Capita Costs</t>
  </si>
  <si>
    <t>t2 Youth Served 1</t>
  </si>
  <si>
    <t>t2 Youth Served 2</t>
  </si>
  <si>
    <t>t2 Youth Served 3</t>
  </si>
  <si>
    <t>t2 Youth Served 4</t>
  </si>
  <si>
    <t>Template 3 Program Name</t>
  </si>
  <si>
    <t xml:space="preserve">Template 3 Alternative Program Name </t>
  </si>
  <si>
    <t>t3 YOBG Salaries</t>
  </si>
  <si>
    <t>t3 YOBG Services</t>
  </si>
  <si>
    <t>t3 YOBG Professional Services</t>
  </si>
  <si>
    <t>t3 YOBG CBOs</t>
  </si>
  <si>
    <t>t3 YOBG Fixed Assets</t>
  </si>
  <si>
    <t>t3 YOBG Admin</t>
  </si>
  <si>
    <t>t3YOBG Other Costs 1</t>
  </si>
  <si>
    <t>t3 YOBG Other Costs 2</t>
  </si>
  <si>
    <t>t3 YOBG Other Costs 3</t>
  </si>
  <si>
    <t>t3 YOBG Total Costs</t>
  </si>
  <si>
    <t>t3 JJCPA Salaries</t>
  </si>
  <si>
    <t>t3 JJCPA Services</t>
  </si>
  <si>
    <t>t3 JJCPA Professional Services</t>
  </si>
  <si>
    <t>t3 JJCPA CBOs</t>
  </si>
  <si>
    <t>t3 JJCPA Fixed Assets</t>
  </si>
  <si>
    <t>t3 JJCPA Admin</t>
  </si>
  <si>
    <t>t3 JJCPA Other Costs 1</t>
  </si>
  <si>
    <t>t3 JJCPA Other Costs 2</t>
  </si>
  <si>
    <t>t3 JJCPA Other Costs 3</t>
  </si>
  <si>
    <t>t3 JJCPA Total Costs</t>
  </si>
  <si>
    <t>t3 Other Salaries</t>
  </si>
  <si>
    <t>t3 Other Services</t>
  </si>
  <si>
    <t>t3 Other Professional Services</t>
  </si>
  <si>
    <t>t3 Other CBOs</t>
  </si>
  <si>
    <t>t3 Other Fixed Assets</t>
  </si>
  <si>
    <t>t3 Other Admin</t>
  </si>
  <si>
    <t>t3 Other Other Costs 1</t>
  </si>
  <si>
    <t>t3 Other Other Costs 2</t>
  </si>
  <si>
    <t>t3 Other Other Costs 3</t>
  </si>
  <si>
    <t>t3 Other Total Costs</t>
  </si>
  <si>
    <t>t3 Total Youth Served</t>
  </si>
  <si>
    <t>t3 YOBG Per Capita Costs</t>
  </si>
  <si>
    <t>t3 Total Per Capita Costs</t>
  </si>
  <si>
    <t>t2 Program Description</t>
  </si>
  <si>
    <t>t3 Program Description</t>
  </si>
  <si>
    <t>t3 Youth Served 1</t>
  </si>
  <si>
    <t>t3 Youth Served 2</t>
  </si>
  <si>
    <t>t3 Youth Served 3</t>
  </si>
  <si>
    <t>t3 Youth Served 4</t>
  </si>
  <si>
    <t>Template 4 Program Name</t>
  </si>
  <si>
    <t xml:space="preserve">Template 4 Alternative Program Name </t>
  </si>
  <si>
    <t>t4 YOBG Salaries</t>
  </si>
  <si>
    <t>t4 YOBG Services</t>
  </si>
  <si>
    <t>t4 YOBG Professional Services</t>
  </si>
  <si>
    <t>t4 YOBG CBOs</t>
  </si>
  <si>
    <t>t4 YOBG Fixed Assets</t>
  </si>
  <si>
    <t>t4 YOBG Admin</t>
  </si>
  <si>
    <t>t4YOBG Other Costs 1</t>
  </si>
  <si>
    <t>t4 YOBG Other Costs 2</t>
  </si>
  <si>
    <t>t4 YOBG Other Costs 3</t>
  </si>
  <si>
    <t>t4 YOBG Total Costs</t>
  </si>
  <si>
    <t>t4 JJCPA Salaries</t>
  </si>
  <si>
    <t>t4 JJCPA Services</t>
  </si>
  <si>
    <t>t4 JJCPA Professional Services</t>
  </si>
  <si>
    <t>t4 JJCPA CBOs</t>
  </si>
  <si>
    <t>t4 JJCPA Fixed Assets</t>
  </si>
  <si>
    <t>t4 JJCPA Admin</t>
  </si>
  <si>
    <t>t4 JJCPA Other Costs 1</t>
  </si>
  <si>
    <t>t4 JJCPA Other Costs 2</t>
  </si>
  <si>
    <t>t4 JJCPA Other Costs 3</t>
  </si>
  <si>
    <t>t4 JJCPA Total Costs</t>
  </si>
  <si>
    <t>t4 Other Salaries</t>
  </si>
  <si>
    <t>t4 Other Services</t>
  </si>
  <si>
    <t>t4 Other Professional Services</t>
  </si>
  <si>
    <t>t4 Other CBOs</t>
  </si>
  <si>
    <t>t4 Other Fixed Assets</t>
  </si>
  <si>
    <t>t4 Other Admin</t>
  </si>
  <si>
    <t>t4 Other Other Costs 1</t>
  </si>
  <si>
    <t>t4 Other Other Costs 2</t>
  </si>
  <si>
    <t>t4 Other Other Costs 3</t>
  </si>
  <si>
    <t>t4 Other Total Costs</t>
  </si>
  <si>
    <t>t4 Total Youth Served</t>
  </si>
  <si>
    <t>t4 YOBG Per Capita Costs</t>
  </si>
  <si>
    <t>t4 Total Per Capita Costs</t>
  </si>
  <si>
    <t>t4 Program Description</t>
  </si>
  <si>
    <t>t4 Youth Served 1</t>
  </si>
  <si>
    <t>t4 Youth Served 2</t>
  </si>
  <si>
    <t>t4 Youth Served 3</t>
  </si>
  <si>
    <t>t4 Youth Served 4</t>
  </si>
  <si>
    <t>Template 5 Program Name</t>
  </si>
  <si>
    <t xml:space="preserve">Template 5 Alternative Program Name </t>
  </si>
  <si>
    <t>t5 YOBG Salaries</t>
  </si>
  <si>
    <t>t5 YOBG Services</t>
  </si>
  <si>
    <t>t5 YOBG Professional Services</t>
  </si>
  <si>
    <t>t5 YOBG CBOs</t>
  </si>
  <si>
    <t>t5 YOBG Fixed Assets</t>
  </si>
  <si>
    <t>t5 YOBG Admin</t>
  </si>
  <si>
    <t>t5YOBG Other Costs 1</t>
  </si>
  <si>
    <t>t5 YOBG Other Costs 2</t>
  </si>
  <si>
    <t>t5 YOBG Other Costs 3</t>
  </si>
  <si>
    <t>t5 YOBG Total Costs</t>
  </si>
  <si>
    <t>t5 JJCPA Salaries</t>
  </si>
  <si>
    <t>t5 JJCPA Services</t>
  </si>
  <si>
    <t>t5 JJCPA Professional Services</t>
  </si>
  <si>
    <t>t5 JJCPA CBOs</t>
  </si>
  <si>
    <t>t5 JJCPA Fixed Assets</t>
  </si>
  <si>
    <t>t5 JJCPA Admin</t>
  </si>
  <si>
    <t>t5 JJCPA Other Costs 1</t>
  </si>
  <si>
    <t>t5 JJCPA Other Costs 2</t>
  </si>
  <si>
    <t>t5 JJCPA Other Costs 3</t>
  </si>
  <si>
    <t>t5 JJCPA Total Costs</t>
  </si>
  <si>
    <t>t5 Other Salaries</t>
  </si>
  <si>
    <t>t5 Other Services</t>
  </si>
  <si>
    <t>t5 Other Professional Services</t>
  </si>
  <si>
    <t>t5 Other CBOs</t>
  </si>
  <si>
    <t>t5 Other Fixed Assets</t>
  </si>
  <si>
    <t>t5 Other Admin</t>
  </si>
  <si>
    <t>t5 Other Other Costs 1</t>
  </si>
  <si>
    <t>t5 Other Other Costs 2</t>
  </si>
  <si>
    <t>t5 Other Other Costs 3</t>
  </si>
  <si>
    <t>t5 Other Total Costs</t>
  </si>
  <si>
    <t>t5 Total Youth Served</t>
  </si>
  <si>
    <t>t5 YOBG Per Capita Costs</t>
  </si>
  <si>
    <t>t5 Total Per Capita Costs</t>
  </si>
  <si>
    <t>t5 Program Description</t>
  </si>
  <si>
    <t>t5 Youth Served 1</t>
  </si>
  <si>
    <t>t5 Youth Served 2</t>
  </si>
  <si>
    <t>t5 Youth Served 3</t>
  </si>
  <si>
    <t>t5 Youth Served 4</t>
  </si>
  <si>
    <t>Template 6 Program Name</t>
  </si>
  <si>
    <t xml:space="preserve">Template 6 Alternative Program Name </t>
  </si>
  <si>
    <t>t6 YOBG Salaries</t>
  </si>
  <si>
    <t>t6 YOBG Services</t>
  </si>
  <si>
    <t>Total 11/12 Allocations</t>
  </si>
  <si>
    <t>Program 1 JJCPA Exp (yes/no)</t>
  </si>
  <si>
    <t>Program 1 JJCPA Reported Expenditures</t>
  </si>
  <si>
    <t>Program 2 JJCPA Exp (yes/no)</t>
  </si>
  <si>
    <t>Program 2 JJCPA Reported Expenditures</t>
  </si>
  <si>
    <t>Program 3 JJCPA Exp (yes/no)</t>
  </si>
  <si>
    <t>Program 3 JJCPA Reported Expenditures</t>
  </si>
  <si>
    <t>Program 4 JJCPA Exp (yes/no)</t>
  </si>
  <si>
    <t>Program 4 JJCPA Reported Expenditures</t>
  </si>
  <si>
    <t>Program 1 Other Exp (yes/no)</t>
  </si>
  <si>
    <t>Program 1 Other Reported Expenditures</t>
  </si>
  <si>
    <t>Program 2 Other Exp (yes/no)</t>
  </si>
  <si>
    <t>Program 2 Other Reported Expenditures</t>
  </si>
  <si>
    <t>Program 3 Other Exp (yes/no)</t>
  </si>
  <si>
    <t>Program 3 Other Reported Expenditures</t>
  </si>
  <si>
    <t>Program 4 Other Exp (yes/no)</t>
  </si>
  <si>
    <t>Program 4 Other Reported Expenditures</t>
  </si>
  <si>
    <t>Program 5 JJCPA Exp (yes/no)</t>
  </si>
  <si>
    <t>Program 5 JJCPA Reported Expenditures</t>
  </si>
  <si>
    <t>Program 5 Other Exp (yes/no)</t>
  </si>
  <si>
    <t>Program 5 Other Reported Expenditures</t>
  </si>
  <si>
    <t>Program 6 JJCPA Exp (yes/no)</t>
  </si>
  <si>
    <t>Program 6 JJCPA Reported Expenditures</t>
  </si>
  <si>
    <t>Program 6 Other Exp (yes/no)</t>
  </si>
  <si>
    <t>Program 6 Other Reported Expenditures</t>
  </si>
  <si>
    <t>Program 7 JJCPA Exp (yes/no)</t>
  </si>
  <si>
    <t>Program 7 JJCPA Reported Expenditures</t>
  </si>
  <si>
    <t>Program 7 Other Exp (yes/no)</t>
  </si>
  <si>
    <t>Program 7 Other Reported Expenditures</t>
  </si>
  <si>
    <t>Program 8 JJCPA Exp (yes/no)</t>
  </si>
  <si>
    <t>Program 8 JJCPA Reported Expenditures</t>
  </si>
  <si>
    <t>Program 8 Other Exp (yes/no)</t>
  </si>
  <si>
    <t>Program 8 Other Reported Expenditures</t>
  </si>
  <si>
    <t>Program 9 JJCPA Exp (yes/no)</t>
  </si>
  <si>
    <t>Program 9 JJCPA Reported Expenditures</t>
  </si>
  <si>
    <t>Program 9 Other Exp (yes/no)</t>
  </si>
  <si>
    <t>Program 9 Other Reported Expenditures</t>
  </si>
  <si>
    <t>Program 10 JJCPA Exp (yes/no)</t>
  </si>
  <si>
    <t>Program 10 JJCPA Reported Expenditures</t>
  </si>
  <si>
    <t>Program 10 Other Exp (yes/no)</t>
  </si>
  <si>
    <t>Program 10 Other Reported Expenditures</t>
  </si>
  <si>
    <t>Program 1</t>
  </si>
  <si>
    <t>Program 2</t>
  </si>
  <si>
    <t>Program 3</t>
  </si>
  <si>
    <t>Program 4</t>
  </si>
  <si>
    <t>Program 5</t>
  </si>
  <si>
    <t>Program 6</t>
  </si>
  <si>
    <t>Program 7</t>
  </si>
  <si>
    <t>Program 8</t>
  </si>
  <si>
    <t>Program 9</t>
  </si>
  <si>
    <t>Program 10</t>
  </si>
  <si>
    <t>Total 12/13 YOBG Expenditures</t>
  </si>
  <si>
    <t>Total 12/13 Allocations</t>
  </si>
  <si>
    <t>Total 6 Year YOBG Allocations</t>
  </si>
  <si>
    <t xml:space="preserve">Other </t>
  </si>
  <si>
    <t>Total 13/14 Allocations</t>
  </si>
  <si>
    <t>1. Program, Placement, Service, Strategy, or System Enhancement</t>
  </si>
  <si>
    <r>
      <t>Expenditure Category</t>
    </r>
    <r>
      <rPr>
        <sz val="8"/>
        <rFont val="Arial"/>
        <family val="2"/>
      </rPr>
      <t>:</t>
    </r>
  </si>
  <si>
    <t>2. Program, Placement, Service, Strategy, or System Enhancement</t>
  </si>
  <si>
    <t>3. Program, Placement, Service, Strategy, or System Enhancement</t>
  </si>
  <si>
    <t>4. Program, Placement, Service, Strategy, or System Enhancement</t>
  </si>
  <si>
    <r>
      <t>Administrative Overhead</t>
    </r>
    <r>
      <rPr>
        <sz val="10"/>
        <rFont val="Arial"/>
        <family val="2"/>
      </rPr>
      <t xml:space="preserve"> includes all costs associated with administration of the program, placement, service, strategy, and/or system enhancement being supported by JJCPA and/or YOBG funds.</t>
    </r>
  </si>
  <si>
    <t>Probation Department Disposition</t>
  </si>
  <si>
    <t>Male</t>
  </si>
  <si>
    <t>Female</t>
  </si>
  <si>
    <t>Race/Ethnic Group</t>
  </si>
  <si>
    <t>Hispanic</t>
  </si>
  <si>
    <t>White</t>
  </si>
  <si>
    <t>Black</t>
  </si>
  <si>
    <t>Asian</t>
  </si>
  <si>
    <t>Pacific Islander</t>
  </si>
  <si>
    <t>Indian</t>
  </si>
  <si>
    <t>Unknown</t>
  </si>
  <si>
    <t>Petition Type</t>
  </si>
  <si>
    <t>Court Disposition</t>
  </si>
  <si>
    <t>Wardship Placements</t>
  </si>
  <si>
    <t>TOTAL</t>
  </si>
  <si>
    <t>Subsequent Actions</t>
  </si>
  <si>
    <t>Sex (Male &amp; Female)</t>
  </si>
  <si>
    <t>FOR BSCC USE ONLY</t>
  </si>
  <si>
    <t xml:space="preserve">Juvenile Justice Crime Prevention Act - Youthful Offender Block Grant  </t>
  </si>
  <si>
    <t>B.  PRIMARY CONTACT</t>
  </si>
  <si>
    <r>
      <t xml:space="preserve">Professional Services </t>
    </r>
    <r>
      <rPr>
        <sz val="10"/>
        <rFont val="Arial"/>
        <family val="2"/>
      </rPr>
      <t>includes all services provided by individuals and agencies with whom the County contracts. The county is responsible for reimbursing every contracted individual/agency.</t>
    </r>
  </si>
  <si>
    <r>
      <t>Fixed Assets/Equipment</t>
    </r>
    <r>
      <rPr>
        <sz val="10"/>
        <rFont val="Arial"/>
        <family val="2"/>
      </rPr>
      <t xml:space="preserve"> includes items such as vehicles and equipment needed to implement and/or operate the program, placement, service, etc. (e.g., computer and other office equipment including furniture).</t>
    </r>
  </si>
  <si>
    <t>Other Capacity/Building Mtce Activities</t>
  </si>
  <si>
    <t>Start by indicating the name of the first program, placement, service, strategy, or system enhancement that was funded with JJCPA and/or YOBG funds last year. Next indicate the expenditure category using the drop down list provided in the Expenditure Category portion on each of the templates.</t>
  </si>
  <si>
    <t>Provide a summary description or analysis, based on available information, of how the programs, placements, services, strategies or system enhancements funded by JJCPA-YOBG have, or may have, contributed to, or influenced, the juvenile justice data trends identified in this report.</t>
  </si>
  <si>
    <t>Training/Education</t>
  </si>
  <si>
    <t>Life/Independent Living Skills</t>
  </si>
  <si>
    <r>
      <t xml:space="preserve">Use the space below the budget detail to provide a narrative description for each program, placement, service, strategy, and/or system enhancement that was funded last year.  </t>
    </r>
    <r>
      <rPr>
        <i/>
        <sz val="10"/>
        <rFont val="Arial"/>
        <family val="2"/>
      </rPr>
      <t xml:space="preserve">To do so, double click on the response box provided for this purpose. </t>
    </r>
    <r>
      <rPr>
        <sz val="10"/>
        <rFont val="Arial"/>
        <family val="2"/>
      </rPr>
      <t xml:space="preserve">   </t>
    </r>
    <r>
      <rPr>
        <b/>
        <u/>
        <sz val="10"/>
        <rFont val="Arial"/>
        <family val="2"/>
      </rPr>
      <t/>
    </r>
  </si>
  <si>
    <r>
      <t xml:space="preserve">Community-Based  Organizations   (CBO) </t>
    </r>
    <r>
      <rPr>
        <sz val="10"/>
        <rFont val="Arial"/>
        <family val="2"/>
      </rPr>
      <t xml:space="preserve"> includes  all  expenditures  for  services  received  from  CBO's.   </t>
    </r>
    <r>
      <rPr>
        <b/>
        <i/>
        <sz val="10"/>
        <rFont val="Arial"/>
        <family val="2"/>
      </rPr>
      <t>NOTE</t>
    </r>
    <r>
      <rPr>
        <sz val="10"/>
        <rFont val="Arial"/>
        <family val="2"/>
      </rPr>
      <t>:</t>
    </r>
    <r>
      <rPr>
        <i/>
        <sz val="10"/>
        <rFont val="Arial"/>
        <family val="2"/>
      </rPr>
      <t xml:space="preserve"> If you use JJCPA and/or YOBG funds to contract with a CBO, report that expenditure on this line item rather than on the Professional Services line item.</t>
    </r>
  </si>
  <si>
    <t>C.  SECONDARY CONTACT (OPTIONAL)</t>
  </si>
  <si>
    <t>COUNTYWIDE JUVENILE JUSTICE DATA for:</t>
  </si>
  <si>
    <t>In the blank boxes below, enter the data from your Report 1 received from DOJ as titled below:</t>
  </si>
  <si>
    <t>In the blank boxes below, enter the data from your Report 3 received from DOJ as titled below:</t>
  </si>
  <si>
    <t>ANALYSIS OF COUNTYWIDE TREND DATA for:</t>
  </si>
  <si>
    <t>(Optional)</t>
  </si>
  <si>
    <t>ACCOUNTING OF JJCPA-YOBG EXPENDITURES for:</t>
  </si>
  <si>
    <t>All Other Funds
(Optional)</t>
  </si>
  <si>
    <r>
      <t xml:space="preserve">Race/Ethnic Group  </t>
    </r>
    <r>
      <rPr>
        <b/>
        <u/>
        <sz val="11"/>
        <color rgb="FFFF0000"/>
        <rFont val="Arial"/>
        <family val="2"/>
      </rPr>
      <t xml:space="preserve"> (OPTIONAL)</t>
    </r>
  </si>
  <si>
    <r>
      <t xml:space="preserve">Race/Ethnic Group   </t>
    </r>
    <r>
      <rPr>
        <b/>
        <u/>
        <sz val="11"/>
        <color rgb="FFFF0000"/>
        <rFont val="Arial"/>
        <family val="2"/>
      </rPr>
      <t>(OPTIONAL)</t>
    </r>
  </si>
  <si>
    <r>
      <rPr>
        <b/>
        <u/>
        <sz val="11"/>
        <color theme="1"/>
        <rFont val="Arial"/>
        <family val="2"/>
      </rPr>
      <t xml:space="preserve">Sex  </t>
    </r>
    <r>
      <rPr>
        <b/>
        <u/>
        <sz val="11"/>
        <color rgb="FFFF0000"/>
        <rFont val="Arial"/>
        <family val="2"/>
      </rPr>
      <t xml:space="preserve"> (OPTIONAL)</t>
    </r>
  </si>
  <si>
    <t>strategy or system enhancement:</t>
  </si>
  <si>
    <t xml:space="preserve">Name of program, placement, service, </t>
  </si>
  <si>
    <t>5. Program, Placement, Service, Strategy, or System Enhancement</t>
  </si>
  <si>
    <t>6. Program, Placement, Service, Strategy, or System Enhancement</t>
  </si>
  <si>
    <t>7. Program, Placement, Service, Strategy, or System Enhancement</t>
  </si>
  <si>
    <t>8. Program, Placement, Service, Strategy, or System Enhancement</t>
  </si>
  <si>
    <t>9. Program, Placement, Service, Strategy, or System Enhancement</t>
  </si>
  <si>
    <t>10. Program, Placement, Service, Strategy, or System Enhancement</t>
  </si>
  <si>
    <t>Provide a description of the program, placement, service, strategy or system enhancement that was funded</t>
  </si>
  <si>
    <t>with JJCPA and/or YOBG funds in the preceding fiscal year.  For example, you might want to include</t>
  </si>
  <si>
    <t>information on the types of youth served, prevention services you provided, your accomplishments, any</t>
  </si>
  <si>
    <t>barriers encountered, and what specifically JJCPA and/or YOBG funds paid for.</t>
  </si>
  <si>
    <t>11. Program, Placement, Service, Strategy, or System Enhancement</t>
  </si>
  <si>
    <t>12. Program, Placement, Service, Strategy, or System Enhancement</t>
  </si>
  <si>
    <t>13. Program, Placement, Service, Strategy, or System Enhancement</t>
  </si>
  <si>
    <t>14. Program, Placement, Service, Strategy, or System Enhancement</t>
  </si>
  <si>
    <t>15. Program, Placement, Service, Strategy, or System Enhancement</t>
  </si>
  <si>
    <t>Arrests</t>
  </si>
  <si>
    <t>Felony Arrests</t>
  </si>
  <si>
    <t>Misdemeanor Arrests</t>
  </si>
  <si>
    <t>Status Arrests</t>
  </si>
  <si>
    <r>
      <t xml:space="preserve">Gender   </t>
    </r>
    <r>
      <rPr>
        <b/>
        <u/>
        <sz val="11"/>
        <color rgb="FFFF0000"/>
        <rFont val="Arial"/>
        <family val="2"/>
      </rPr>
      <t>(OPTIONAL)</t>
    </r>
  </si>
  <si>
    <r>
      <t xml:space="preserve">Juvenile Court Dispositions Resulting From Petitions for Delinquesnt Acts, January 1 - December 31, 2016
</t>
    </r>
    <r>
      <rPr>
        <b/>
        <sz val="9"/>
        <color indexed="9"/>
        <rFont val="Arial"/>
        <family val="2"/>
      </rPr>
      <t>Age by Petition Type, Sex, Race/Ethnic Group, Defense Representation, Court Disposition and Wardship Placement</t>
    </r>
    <r>
      <rPr>
        <b/>
        <sz val="10"/>
        <color indexed="9"/>
        <rFont val="Arial"/>
        <family val="2"/>
      </rPr>
      <t xml:space="preserve">
</t>
    </r>
    <r>
      <rPr>
        <b/>
        <sz val="14"/>
        <color indexed="9"/>
        <rFont val="Arial"/>
        <family val="2"/>
      </rPr>
      <t>Report 3 TOTALS</t>
    </r>
  </si>
  <si>
    <r>
      <t xml:space="preserve">Referrals of Juveniles to Probation Departments for Delinquent Acts, January 1 - December 31, 2016
Age by Referral Type, Gender, Race/Ethnic Group, Referral Source, Detention, Prosecutor Action, and Probation Department Disposition
</t>
    </r>
    <r>
      <rPr>
        <b/>
        <sz val="14"/>
        <color indexed="9"/>
        <rFont val="Arial"/>
        <family val="2"/>
      </rPr>
      <t>Report 1 TOTALS</t>
    </r>
  </si>
  <si>
    <r>
      <t xml:space="preserve">In the blank boxes below, enter the data from your Juvenile Arrest Report received from BSCC as titled below:
</t>
    </r>
    <r>
      <rPr>
        <b/>
        <sz val="11"/>
        <color theme="0"/>
        <rFont val="Arial"/>
        <family val="2"/>
      </rPr>
      <t xml:space="preserve">Juvenile Arrests by County, Race/Ethnic Group and Sex, 2016
</t>
    </r>
    <r>
      <rPr>
        <b/>
        <sz val="14"/>
        <color theme="0"/>
        <rFont val="Arial"/>
        <family val="2"/>
      </rPr>
      <t>TOTALS</t>
    </r>
  </si>
  <si>
    <t>16. Program, Placement, Service, Strategy, or System Enhancement</t>
  </si>
  <si>
    <t>17. Program, Placement, Service, Strategy, or System Enhancement</t>
  </si>
  <si>
    <t>18. Program, Placement, Service, Strategy, or System Enhancement</t>
  </si>
  <si>
    <t>19. Program, Placement, Service, Strategy, or System Enhancement</t>
  </si>
  <si>
    <t>20. Program, Placement, Service, Strategy, or System Enhancement</t>
  </si>
  <si>
    <t>Arrest data by county can be found at:</t>
  </si>
  <si>
    <t>Government Code Section 30061(b)(4)(C)(iv) &amp; WIC Section 1961(c)(3)</t>
  </si>
  <si>
    <t>Informal Probation</t>
  </si>
  <si>
    <t>Diversions</t>
  </si>
  <si>
    <t>Petitions Filed</t>
  </si>
  <si>
    <t xml:space="preserve">Please use this space to explain any exceptions and/or anomalies in the data reported above: </t>
  </si>
  <si>
    <t>New</t>
  </si>
  <si>
    <t>Subsequent</t>
  </si>
  <si>
    <t>Non-Ward Probation</t>
  </si>
  <si>
    <t>Wardship Probation</t>
  </si>
  <si>
    <t>Diversion</t>
  </si>
  <si>
    <t>Deferred Entry of Judgement</t>
  </si>
  <si>
    <t>Own/Relative's Home</t>
  </si>
  <si>
    <t>Non-Secure County Facility</t>
  </si>
  <si>
    <t>Secure County Facility</t>
  </si>
  <si>
    <t>Other Public Facility</t>
  </si>
  <si>
    <t>Technical Violations</t>
  </si>
  <si>
    <r>
      <t>California Youth Authority</t>
    </r>
    <r>
      <rPr>
        <b/>
        <sz val="12"/>
        <rFont val="Arial"/>
        <family val="2"/>
      </rPr>
      <t>*</t>
    </r>
  </si>
  <si>
    <r>
      <rPr>
        <b/>
        <sz val="12"/>
        <rFont val="Arial"/>
        <family val="2"/>
      </rPr>
      <t>*</t>
    </r>
    <r>
      <rPr>
        <b/>
        <sz val="9"/>
        <rFont val="Arial"/>
        <family val="2"/>
      </rPr>
      <t xml:space="preserve"> The JCPSS reports show "California Youth Authority," however it is now called the "Division of Juvenile Justice."</t>
    </r>
  </si>
  <si>
    <t>21. Program, Placement, Service, Strategy, or System Enhancement</t>
  </si>
  <si>
    <t>22. Program, Placement, Service, Strategy, or System Enhancement</t>
  </si>
  <si>
    <t>23. Program, Placement, Service, Strategy, or System Enhancement</t>
  </si>
  <si>
    <t>24. Program, Placement, Service, Strategy, or System Enhancement</t>
  </si>
  <si>
    <t>25. Program, Placement, Service, Strategy, or System Enhancement</t>
  </si>
  <si>
    <t>26. Program, Placement, Service, Strategy, or System Enhancement</t>
  </si>
  <si>
    <t>27. Program, Placement, Service, Strategy, or System Enhancement</t>
  </si>
  <si>
    <t>28. Program, Placement, Service, Strategy, or System Enhancement</t>
  </si>
  <si>
    <t>29. Program, Placement, Service, Strategy, or System Enhancement</t>
  </si>
  <si>
    <t>30. Program, Placement, Service, Strategy, or System Enhancement</t>
  </si>
  <si>
    <t>strategy or system enhancement (Required):</t>
  </si>
  <si>
    <r>
      <t>Expenditure Category (Required)</t>
    </r>
    <r>
      <rPr>
        <sz val="8"/>
        <rFont val="Arial"/>
        <family val="2"/>
      </rPr>
      <t>:</t>
    </r>
  </si>
  <si>
    <t>Use the template(s) below to report the programs, placements, services, strategies, and/or system enhancements you funded in the preceding fiscal year. Use a separate template for each program, placement, service, strategy, or system enhancement that was supported with JJCPA and/or YOBG funds.  If you need more templates than provided, click on the "Add'l EXPENDITURE DETAIL Forms" tab.</t>
  </si>
  <si>
    <t>For each program, placement, service, strategy, or system enhancement, record actual expenditure details for the preceding fiscal year. Expenditures will be categorized as coming from one or more of three funding sources - JJCPA funds, YOBG funds, and other funding sources (local, federal, other state, private, etc.). Be sure to report all JJCPA and YOBG expenditures for the preceding fiscal year irrespective of the fiscal year during which the funds were allocated. Definitions of the budget line items are provided on the next page.
And, as previously stated, we strongly suggest you use Spell Check before returning to the BSCC.</t>
  </si>
  <si>
    <r>
      <t xml:space="preserve">And, as previously stated, we </t>
    </r>
    <r>
      <rPr>
        <b/>
        <sz val="10"/>
        <rFont val="Arial"/>
        <family val="2"/>
      </rPr>
      <t>strongly suggest you use Spell Check</t>
    </r>
    <r>
      <rPr>
        <sz val="10"/>
        <rFont val="Arial"/>
        <family val="2"/>
      </rPr>
      <t xml:space="preserve"> before returning to the BSCC.</t>
    </r>
  </si>
  <si>
    <t>Other Private Facility</t>
  </si>
  <si>
    <t>2019 Expenditure and Data Report</t>
  </si>
  <si>
    <r>
      <t>Once the report is complete, attach the file to an email and send it to</t>
    </r>
    <r>
      <rPr>
        <i/>
        <sz val="10"/>
        <rFont val="Arial"/>
        <family val="2"/>
      </rPr>
      <t>:</t>
    </r>
    <r>
      <rPr>
        <sz val="10"/>
        <rFont val="Arial"/>
        <family val="2"/>
      </rPr>
      <t xml:space="preserve"> </t>
    </r>
    <r>
      <rPr>
        <b/>
        <sz val="10"/>
        <rFont val="Arial"/>
        <family val="2"/>
      </rPr>
      <t>JJCPA-YOBG@bscc.ca.gov</t>
    </r>
    <r>
      <rPr>
        <sz val="10"/>
        <rFont val="Arial"/>
        <family val="2"/>
      </rPr>
      <t xml:space="preserve">.   All reports will be posted to the BSCC website.  We encourage you to review your report for accuracy before sending it to the BSCC.  Please do </t>
    </r>
    <r>
      <rPr>
        <b/>
        <sz val="10"/>
        <rFont val="Arial"/>
        <family val="2"/>
      </rPr>
      <t>NOT</t>
    </r>
    <r>
      <rPr>
        <sz val="10"/>
        <rFont val="Arial"/>
        <family val="2"/>
      </rPr>
      <t xml:space="preserve"> change the report form to a PDF document.</t>
    </r>
  </si>
  <si>
    <t xml:space="preserve">Repeat this process  as many times as needed to fully account for all programs, placements, services, strategies, and systems enhancements that were funded with JJCPA and/or YOBG during the last fiscal year. Keep in mind that this full report will be posted on the BSCC website in accordance with state law. </t>
  </si>
  <si>
    <t>Due Date:  October 1, 2020</t>
  </si>
  <si>
    <t xml:space="preserve">On or before October 1, 2020, each county is required to submit to the Board of State &amp; Community Corrections (BSCC) a report on its Juvenile Justice Crime Prevention Act (JJCPA) and Youthful Offender Block Grant (YOBG) programs during the preceding year. For JJCPA this requirement can be found at Government Code (GC) Section 30061(b)(4)(C) and for YOBG it can be found at Welfare &amp; Institutions Code Section (WIC) 1961(c). These code sections both call for a consolidated report format that includes a description of the programs and other activities supported by JJCPA and/or YOBG funds, an accounting of all JJCPA and YOBG expenditures during the prior fiscal year, and countywide juvenile justice trend data. </t>
  </si>
  <si>
    <t>In the blank boxes below, enter your juvenile arrest data from last year (2019).</t>
  </si>
  <si>
    <t>Referrals of Juveniles to Probation Departments for Delinquent Acts, January 1 - December 31, 2019
Age by Referral Type, Gender, Race/Ethnic Group, Referral Source, Detention, Prosecutor Action, and Probation Department Disposition
Report 1</t>
  </si>
  <si>
    <r>
      <t xml:space="preserve">Juvenile Court Dispositions Resulting From Petitions for Delinquent Acts, January 1 - December 31, 2019
</t>
    </r>
    <r>
      <rPr>
        <b/>
        <sz val="9"/>
        <color indexed="9"/>
        <rFont val="Arial"/>
        <family val="2"/>
      </rPr>
      <t>Age by Petition Type, Sex, Race/Ethnic Group, Defense Representation, Court Disposition and Wardship Placement</t>
    </r>
    <r>
      <rPr>
        <b/>
        <sz val="10"/>
        <color indexed="9"/>
        <rFont val="Arial"/>
        <family val="2"/>
      </rPr>
      <t xml:space="preserve">
Report 3</t>
    </r>
  </si>
  <si>
    <t xml:space="preserve">https://openjustice.doj.ca.gov/exploration/crime-statistics/arrests </t>
  </si>
  <si>
    <r>
      <rPr>
        <sz val="10"/>
        <rFont val="Arial"/>
        <family val="2"/>
      </rPr>
      <t>Prior to submitting this report save the file using the following naming convention:</t>
    </r>
    <r>
      <rPr>
        <b/>
        <sz val="10"/>
        <rFont val="Arial"/>
        <family val="2"/>
      </rPr>
      <t xml:space="preserve"> "(County Name) 2020 JJCPA-YOBG Report." </t>
    </r>
    <r>
      <rPr>
        <sz val="10"/>
        <rFont val="Arial"/>
        <family val="2"/>
      </rPr>
      <t>For example, Sacramento County would name its file "Sacramento 2020 JJCPA-YOBG Report".</t>
    </r>
  </si>
  <si>
    <t>Juvenile Commitment (Camp)</t>
  </si>
  <si>
    <t>PACT Assessment Tool</t>
  </si>
  <si>
    <t>Truancy Intervention Program</t>
  </si>
  <si>
    <t>Juvenile Justice Campus Boys and Girls Club</t>
  </si>
  <si>
    <t>Juvenile Mentoring Program</t>
  </si>
  <si>
    <t>School Based Officers Intervention</t>
  </si>
  <si>
    <t>Family Behavioral Health Court</t>
  </si>
  <si>
    <t>Juvenile Sex Offender Program</t>
  </si>
  <si>
    <t>Informal Probation Prevention Program</t>
  </si>
  <si>
    <t xml:space="preserve">The Fresno County Probation Department currently uses the Juvenile Justice Crime Prevention Act (JJCPA) funds for programs that primarily focuses on school based interventions, as well as other specialized supervision caseloads for juveniles who are on probation. The services provided with JJCPA funds coordinate with the Youthful Offender Block Grant by enabling Fresno County Probation to provide a wide range of needed services ranging from intervention to intensive supervision services with the concept of utilizing Evidence Based Practices. </t>
  </si>
  <si>
    <t xml:space="preserve">This program serves as a custodial commitment which consists of 60 beds of which 30 beds are the New Horizon program.  This program is designed for males, age 14 to 18 years old, who have had the benefit of previous restrictive commitment options or have committed an offense that could have resulted in a DJJ commitment. The program utilizes contracted services to include mental health, substance abuse counseling, and aggressive behavior reduction therapy by using a cognitive learning model. The other 30 beds also receive the full range of services provided at the Commitment facility by contracted services not paid for with YOBG funds.  These include the cognitive learning model, "Thinking For A Change."  Contracted psychological services are used to provide referral and psychotherapy to youth. The Deputy Probation Officer (DPO) develops a case plan which includes transition and aftercare services for youth within the Commitment facility.   
</t>
  </si>
  <si>
    <r>
      <t xml:space="preserve">The PACT (Positive Achievement Change Tool) risk and needs assessment tool will be used by the Deputy Probation Officer to develop a case plan that will identify the needs and treatment program specifically for the youth.  The PACT and case management services are both Evidence Based Practices. Once the case plan is developed, appropriate referrals are made to a full range of service providers and available treatment programs,  The YOBG funds will pay for the contracted costs associated with licensing and maintaining the PACT assessment tool and also includes training Probation staff.    
</t>
    </r>
    <r>
      <rPr>
        <i/>
        <sz val="10"/>
        <rFont val="Arial"/>
        <family val="2"/>
      </rPr>
      <t xml:space="preserve">                                                                      </t>
    </r>
    <r>
      <rPr>
        <sz val="10"/>
        <rFont val="Arial"/>
        <family val="2"/>
      </rPr>
      <t xml:space="preserve">                                                     </t>
    </r>
  </si>
  <si>
    <r>
      <t xml:space="preserve">The Truancy Intervention Program (TIP) is a partnership between the Fresno County Probation Department, Fresno County Superintendent of Schools, Violent Heintz Educational Academy, and 10 school districts including Caruthers Unified, Coalinga-Huron Unified, Sanger Unified, Firebaugh-Las Deltas Unified, Golden Plains Unified, Kerman Unified, Laton Unified, Mendota Unified, Washington Colony Elementary School District, and Washington Unified School District.  The program is designed to assist with school attendance, decrease truancy, and increase learning opportunities. Success of the program is measured by the average daily attendance levels within the School Districts participating in TIP. Chronic truancy with the intervention of legal actions against the parents and/or the youth. Each district has showed improvement in average daily attendance (ADA), which has allowed each district to recover additional funding resources. 
There are two Deputy Probation Officers (DPO's) assigned to this program and their duties include but, are not necessarily limited to, providing support to the TIP system as developed by the participating Districts and Probation by participating in school site meetings with parents/guardians, attending School Attendance Review Board meetings when possible, assisting schools in supervising identified chronic truants, and participating in the training of school district personnel.  The YOBG funds partially pay for two DPO's that are assigned to TIP.  The school districts through the Fresno County Superintendent of Schools also provide funding for this program. The School Districts within Fresno County that participate in TIP continue to be pleased with the success of the program.    
</t>
    </r>
    <r>
      <rPr>
        <b/>
        <i/>
        <u/>
        <sz val="10"/>
        <rFont val="Arial"/>
        <family val="2"/>
      </rPr>
      <t xml:space="preserve"> </t>
    </r>
  </si>
  <si>
    <t xml:space="preserve">This program provides a Targeted Re-Entry program operated by the Boys and Girls Club at the Fresno County Juvenile Justice Campus and includes both pre and post release services. Pre-release services include, but are not limited to, social and life skill building, vocational and career development, character development, leadership, and recreational opportunities.  
During the post-release re-entry process from the Juvenile Justice Campus into the community, youth participating in the program transition to a designated Boys and Girls Club near their residence and continue their relationship with this organization.  The post release services include case management with the goal to successfully transition participants back to the community.
</t>
  </si>
  <si>
    <t>VORP/ CJC (Restorative Justice)</t>
  </si>
  <si>
    <t xml:space="preserve">This program consists of five Deputy Probation Officers that provides youthful offenders intensive supervision services.  The caseload provides supervision for juvenile offenders that have a high number of needs (based on an evidenced based needs assessment) that need to be addressed and/or are considered to be at high risk of recidivism.  The Probation Officers for these caseloads will screen clients by developing a case plan that assesses risks and needs.  This is to ensure proper referral opportunities and reduce the risk of re-offending. 
</t>
  </si>
  <si>
    <t xml:space="preserve">The community based organization provides a mentoring program for youth in both the commitment and detention facilities at the Juvenile Justice Campus.  The program continues to be provided to the youth upon their release from the Juvenile Justice Campus.  The organization also provides mentoring services to youth that have been assessed and determined to be at-risk of being removed from the home, foster care placement or family disruption.
</t>
  </si>
  <si>
    <t xml:space="preserve">A DPO assigned to the Fresno County Probation Department Juvenile Substance Abuse Aftercare caseload. Youth that have completed the 180-day Floyd Farrow Substance Abuse Unit (SAU) dual diagnosis treatment program are assigned to this caseload. While in the in-patient program, youth will be assigned to a group with approximately 10 to 15 youth, a mental health clinician, and a substance abuse counselor. Case management services are provided by the treatment team. Evidence based practices include Cognitive Behavioral Treatment Curriculum. Services included but not limited to the following: Individual therapy, family therapy, group therapy, multi-family groups, psychoeducation, and case management. Medical treatment and medication therapy will be utilized when appropriate by Wellpath. Once these youth complete the in-patient component of the program, they will be released back in the community, under probation supervision if ordered by the Court. 
The DPO assigned to this caseload has case management responsibility for the duration of the youth’s period on probation.  The assigned DPO connects the youth to appropriate community-based treatment programs. The DPO will ensure compliance with substance abuse treatment, they will also ensure compliance with all their conditions of probation, which will include drug testing. The program goals are to reduce the arrest, incarceration and violation of probation rate and to increase the completion of probation rate, and a higher level of collection of restitution. The DPO will work with all treatment providers, law-enforcement agencies, school districts, to ensure the youth’s compliance with his/her conditions of probation.  </t>
  </si>
  <si>
    <t>University of Cincinnati Institute (UCCI)</t>
  </si>
  <si>
    <t>The university of Cincinnati Institute (UCCI) is working with Fresno County to expand and improve the delivery of evidence-based practices in and across the Juvenile Justice Campus and Juvenile Services Divisions. 
UCCI will work with the Fresno County Juvenile Justice Campus in the following ways: 
-	Enhance the contingency/behavioral management system through training, coaching and quality assurance 
-	Enhance staff use of core correctional practices through training, coaching and quality assurance.
UCCI will work with the Fresno County Juvenile Services in the following ways:
-	Enhance staff’s use of core correctional practices
-	Enhance staff’s ability to develop meaningful case plans
UCCI will set up committees and meet with Multidisciplinary Implementation Team (MIT) teams regularly to review current program components, update components in need of better alignment with evidence-based practices, monitor both successful and challenging components and update implementation efforts as needed to best support practices adopted.
Training in Effective Practices in Community Supervision (EPICS) will be conducted for staff and supervisors.  Case Planning (CP) training will also be conducted for those juvenile justice staff responsible for developing and monitoring case plans. The goals of the training are threefold: 1) review the principles of effective intervention and how they relate to assessment and case planning; 20 discuss the importance of assessment-driven case planning; and 3) enhance staff skills and knowledge to develop case plans with individuals involved in the criminal justice system on their caseloads.  The training provides staff with many opportunities to practice each component of an effective case plan, as well as offers a “putting it all together” activity whereby staff will work in small groups to crease a full case plan for individuals involved in the criminal justice system.</t>
  </si>
  <si>
    <t>Violent Heintz Educational Academy/Day Reporting Center</t>
  </si>
  <si>
    <t>The School Based Program is well established for creating a partnership between Juvenile Probation Departments and local schools that place DPO’s directly within the confines of the school, where they have greater opportunity to develop positive interactions with youth under the supervision of the Court and students assigned to the school. 
The Department will utilize five separate mainstream high schools in the Fresno Unified School District, the largest school district in the City and County of Fresno:  Bullard, Sunnyside, Roosevelt, Edison and Cambridge/DeWolf.  They also have access to the connected alternative high school as well as their feeder elementary and middle schools. Supervision of youth on formal probation will be carried out by DPO’s who are assigned full-time to the Campus Unit. Two DPO’s are assigned to Central Unified School District. There is also one DPO assigned to the Sanger Unified School District and two assigned to the Kings Canyon Unified School District.  
The Fresno, Central, Sanger and Kings Canyon Unified School Districts have collaboratively agreed to promote youth development to include an appropriate prevention/intervention program for youth enrolled in their respective School District elementary schools.  The goal is to promote positive behaviors in the school, home and community by fostering positive, proactive relationships with DPO’s. In addition, many of the FUSD high schools involved in this project operate Youth Courts, an evidence-based practice, where students who are first-time offenders go through proceedings, with a jury panel consisting of their peers.  Sanger Unified and Central Unified also implement the Juvenile Youth Court practice.  The Campus DPO can also use the Youth Court as an alternative to filing a formal petition, thus avoiding the Delinquency Court. 
East and West Fresno County Supervision Officers will provide supervision with collaborative partners, school and police partners.  There will be four DPO’s assigned full-time to the rural areas of Fresno County.  Two DPO’s will be assigned to East Fresno County area and there will be two DPO’s focusing on West Fresno County communities.</t>
  </si>
  <si>
    <t>The Juvenile Sex Offender caseload is comprised of youth adjudicated in the Delinquency Court or who have been placed on Deferred Entry of Judgment for a sexual offense that requires them to complete out-patient Sex Offender Treatment.   The program goals are to reduce the arrest, incarceration and violation of probation rate and to increase the successful completion of probation rate, a higher level of collection of restitution and a greater level of community service completion.   
The assigned DPO will continue to work with treatment providers, to ensure compliance, as well as working with the youth’s family and the local school districts.  Intensive supervision is provided and can include contact with the offender in the home, school site, Probation Department, or at treatment facilities.   
The DPO assigned to this caseload has case management responsibility for the duration of the youth’s period on probation or DEJ.  It is the responsibility of the DPO Officer to refer the youth to an acceptable out-patient Sex Offender Treatment program, which usually takes a minimum of 18 months to 3 years to complete, as well as individual and family counseling.  
The Sex Offender Treatment programs utilize Cognitive Behavioral Therapy (CBT) and/or Dialectical Behavior Therapy (DBT) interventions, which are evidence based, in the group setting as well as others, but these interventions are effective for this population.  The group environment is experiential in nature in order to minimize the participant’s defenses so that the group therapists can experience the client as he would operate outside the office environment.  Each treatment provider is responsible for reporting the progress and attendance in treatment.  
The DPO will work with all treatment providers, law-enforcement agencies, school districts, the District Attorney’s Office, and the Child Abuse Review Team (C.A.R.T.) to ensure the youth’s compliance with his/her conditions of probation or DEJ</t>
  </si>
  <si>
    <t>Substance Abuse Intervention Program (SAU)</t>
  </si>
  <si>
    <r>
      <t xml:space="preserve">The Victim Offender Reconciliation Program (VORP) and Community Justice Conference (CJC) program(s) is a contract that provides restorative justice and victim offender mediation for youth and their families as an early intervention service. Restorative Justice focuses on the harm caused by crime, repairing the harm done to victims, and requires offenders to take responsibility for their actions and the harm they have caused.  
Both CJC and VORP utilize evidence-based practices including cognitive behavioral therapy.  With the assistance of locally trained mediators, CJC facilitates a mediation and restitution process which considers the impact, needs, and the concerns of the victim, offender, and the community.  CJC gives the people involved an opportunity to decide how to best address the offense and how to keep it from re-occurring.  CJC monitors the plan and assists the parties in keeping agreements.  
</t>
    </r>
    <r>
      <rPr>
        <b/>
        <i/>
        <u/>
        <sz val="10"/>
        <rFont val="Arial"/>
        <family val="2"/>
      </rPr>
      <t xml:space="preserve"> </t>
    </r>
  </si>
  <si>
    <t xml:space="preserve">Informal probationers, although at the entry level of the Juvenile Justice system, are not necessarily considered high risk, but may have high needs.  Evidence-based practices are employed with this population, to help reduce the risk of them entering further into the delinquency system and address needs.
The program goals are to reduce arrest and incarceration while working towards a higher level of restitution collection and community service completion.  As a component of their program, youth and families are assessed promptly after Court and seen by the Deputy Probation Officer (DPO) to review their terms and conditions of Informal probation. 
In a collaborative environment, they will also be referred to agencies which will monitor their compliance of special conditions such as therapy, family counseling, and other programs designed to meet their overall rehabilitative needs which have been shown to be effective in reducing recidivism with this population.  
DPO’s supervising youth on Informal probation can refer them to the Community Justice Conferencing (CJC), which is a program of Victim Offender Reconciliation Program (VORP) of the Central Valley.  Both CJC and VORP utilizes evidence-based practices including cognitive behavioral therapy.  With the assistance of locally trained mediators, CJC facilitates a mediation and restitution process which considers the impact, needs, and the concerns of the victim, offender, and the community.  
CJC gives the people involved an opportunity to decide how to best address the offense and how to keep it from re-occurring.  Once the agreement is met with the offender and the victim, CJC reports to the Court the outcome of the mediation.  CJC monitors the plan and assists the parties in keeping agreements.  The DPO’s also work in collaboration with school districts and treatment providers to ensure compliance with the orders of the Court and restitution collection. </t>
  </si>
  <si>
    <t xml:space="preserve">Two DPO’s are assigned to intensive supervision caseloads for female youth who have been identified as at risk of human trafficking in conducting an assessment identified as the Commercial Sexual Exploitation-Identification Tool. This is a tool which helps identify children and youth who have been, or are being, commercially sexually exploited. The completed CSE-IT will result in a total number that indicates the youth’s level of risk as No Concern, Possible Concern, or Clear Concern.  
The youth who score Possible and/or Clear Concern are screened with the DPO for possible supervision under the CSEC DPO and may be referred to Friday Court.  Friday Court is a specialized court hearing for youth at risk of trafficking or being trafficked. The youth is linked with various resources available to them.  The youth’s participation is voluntary and is not meant to be punitive, but rather positive and supportive.  
The DPO’s will work closely with the youth, service provider and the court in assisting the youth in developing a case plan that best meets their needs.   The DPO’s will also participate in various CSEC trainings, and educational forums in order to maintain awareness in this subject matter. The probation officers will work closely in collaboration with Human Trafficking providers including, but not limited to Fresno County EOC, Central Valley Against Human Trafficking (CVAHT), Breaking the Chains, and with the Crime Victim Assistance Center, Human Trafficking Victim Advocate.    
The DPO’s will provide awareness, training, technical assistance, and advocacy about human trafficking and trafficking-related issues with fellow probation officers.  </t>
  </si>
  <si>
    <t>Greg Reinke</t>
  </si>
  <si>
    <t>Administration Division Director</t>
  </si>
  <si>
    <t>greinke@fresnocountyca.gov</t>
  </si>
  <si>
    <t>Vicki Passmore</t>
  </si>
  <si>
    <t>Probation Division Director</t>
  </si>
  <si>
    <t>559-600-1247</t>
  </si>
  <si>
    <t>vpassmore@fresnocountyca.gov</t>
  </si>
  <si>
    <t>559-600-4760</t>
  </si>
  <si>
    <r>
      <t>The report consists of several worksheets. Each worksheet is accessed by clicking on the labeled tabs below. (You are currently in the worksheet titled "</t>
    </r>
    <r>
      <rPr>
        <b/>
        <sz val="10"/>
        <rFont val="Arial"/>
        <family val="2"/>
      </rPr>
      <t>CONTACT INFORMATION</t>
    </r>
    <r>
      <rPr>
        <sz val="10"/>
        <rFont val="Arial"/>
        <family val="2"/>
      </rPr>
      <t>".)  Complete the report by providing the information requested in each worksheet.
On the worksheet "</t>
    </r>
    <r>
      <rPr>
        <b/>
        <sz val="10"/>
        <rFont val="Arial"/>
        <family val="2"/>
      </rPr>
      <t>REPORT 1</t>
    </r>
    <r>
      <rPr>
        <sz val="10"/>
        <rFont val="Arial"/>
        <family val="2"/>
      </rPr>
      <t>," you will pull data directly from your Juvenile Court &amp; Probation Statistical System (JCPSS) Report 1 that you received from the California Department of Justice (DOJ) for 2019.  Similarly, for the worksheet labeled "</t>
    </r>
    <r>
      <rPr>
        <b/>
        <sz val="10"/>
        <rFont val="Arial"/>
        <family val="2"/>
      </rPr>
      <t>REPORT 3</t>
    </r>
    <r>
      <rPr>
        <sz val="10"/>
        <rFont val="Arial"/>
        <family val="2"/>
      </rPr>
      <t>," you will pull information directly from your 2019 JCPSS Report 3. On the worksheet "</t>
    </r>
    <r>
      <rPr>
        <b/>
        <sz val="10"/>
        <rFont val="Arial"/>
        <family val="2"/>
      </rPr>
      <t>ARREST DATA</t>
    </r>
    <r>
      <rPr>
        <sz val="10"/>
        <rFont val="Arial"/>
        <family val="2"/>
      </rPr>
      <t>," you will obtain data from the DOJ's Open Justice public website. 
On the worksheet "</t>
    </r>
    <r>
      <rPr>
        <b/>
        <sz val="10"/>
        <rFont val="Arial"/>
        <family val="2"/>
      </rPr>
      <t>TREND ANALYSIS</t>
    </r>
    <r>
      <rPr>
        <sz val="10"/>
        <rFont val="Arial"/>
        <family val="2"/>
      </rPr>
      <t>," you will describe how the programs and activities funded by JJCPA-YOBG have, or may have, contributed to the trends seen in the data included in REPORT 1, REPORT 3, and ARREST DATA.
On the "</t>
    </r>
    <r>
      <rPr>
        <b/>
        <sz val="10"/>
        <rFont val="Arial"/>
        <family val="2"/>
      </rPr>
      <t>EXPENTITURE DETAILS</t>
    </r>
    <r>
      <rPr>
        <sz val="10"/>
        <rFont val="Arial"/>
        <family val="2"/>
      </rPr>
      <t xml:space="preserve">" worksheet, you are required to provide a detailed accounting of actual expenditures for each program, placement, service, strategy, or system enhancement that was funded by JJCPA and/or YOBG during the preceding fiscal year.  This worksheet is also where you are asked to provide a description of each item funded. </t>
    </r>
  </si>
  <si>
    <t xml:space="preserve">The Family Behavioral Health Court is a Juvenile Delinquency Superior Court program designed to adjudicate and provide treatment plans for youth who are at high risk to the community as indicated by their assessed and demonstrated mental health impairment. DPO’s will be assigned to a caseload of high needs probationers, who have demonstrated mental health needs requiring specialized assistance. The program goals are to connect the youth and family to a high level of services, reduce the arrest, incarceration and violation of probation rate, and to increase the successful completion of probation rate. 
The FBHC team comprised of the assigned Juvenile DPOs (2), FBHC Coordinator, Defense Counsel, Deputy District Attorney, Department of Behavioral Health clinician, and the Juvenile Court Judge.  The FBHC team uses a collaborative approach to review and suitably address each youth and family referred to the program and sustain participation based on the youth’s and family’s needs. The FBHC team will meet prior to each FBHC session to review referrals for suitability. Subject to the capacity limitations, cases deemed both eligible and suitable will be accepted into the program.  
The primary contracted provider for FBHC is currently Uplift Family Services Assertive Community Treatment (ACT) program, which is an evidence-based treatment modality designed to reduce barriers to accessing treatment services.  </t>
  </si>
  <si>
    <t>Commercial Sexual Exploitation of Children</t>
  </si>
  <si>
    <t xml:space="preserve">VHEA also provides the Day Reporting Center Program (DRC) for youth that have been Court ordered to complete a 180-day substance abuse or mental health component of the program, which also consist of 30 days on the Global Positioning System (GPS). Upon completion of the program, the student is eligible to continue with their education at the school site or reintegrate back into their home school district. The students eligible for DRC are youth in grades 9-12.
The DPO assigned to VHEA provides supervision for youth on formal probation, in order to ensure accountability and compliance with Juvenile Court orders. The Fresno Police Department also partners with the school to provide a collaborative approach to ensuring safety, security, mentoring, and to take enforcement action when necessary. Officers assigned to the campus will help to maintain safety, monitor school attendance and behavior, and provide partnership with other local law enforcement officers assigned by their agencies.
The program goals are to reduce the arrest, incarceration and violation of probation rate and to increase the successful completion of probation rate, a higher level of collection of restitution and a greater level of community service completion. They may also coordinate interventions with the school and other agencies, assist with re-entry efforts for youth, and serve as an agent of early intervention for disruptive or truant youth who are not yet involved in the juvenile justice system. 
The DRC at VHEA is a multi-disciplinary, community-based alternative to incarceration for juvenile offenders. It is a treatment-oriented program comprised of probation, mental health, substance abuse programs, and a school for students who are having mental health or substance abuse problems. Through a combination of intensive supervision and direct services for these youthful offenders, they will be encouraged to live criminal free lifestyle.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</si>
</sst>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45" x14ac:knownFonts="1">
    <font>
      <sz val="10"/>
      <name val="Arial"/>
    </font>
    <font>
      <sz val="10"/>
      <name val="Arial"/>
      <family val="2"/>
    </font>
    <font>
      <sz val="8"/>
      <name val="Arial"/>
      <family val="2"/>
    </font>
    <font>
      <sz val="12"/>
      <color indexed="9"/>
      <name val="Arial"/>
      <family val="2"/>
    </font>
    <font>
      <b/>
      <sz val="11"/>
      <name val="Arial"/>
      <family val="2"/>
    </font>
    <font>
      <b/>
      <sz val="12"/>
      <name val="Arial"/>
      <family val="2"/>
    </font>
    <font>
      <b/>
      <sz val="10"/>
      <name val="Arial"/>
      <family val="2"/>
    </font>
    <font>
      <u/>
      <sz val="10"/>
      <color indexed="12"/>
      <name val="Arial"/>
      <family val="2"/>
    </font>
    <font>
      <u/>
      <sz val="10"/>
      <name val="Arial"/>
      <family val="2"/>
    </font>
    <font>
      <sz val="10"/>
      <name val="Arial"/>
      <family val="2"/>
    </font>
    <font>
      <b/>
      <sz val="8"/>
      <name val="Arial"/>
      <family val="2"/>
    </font>
    <font>
      <b/>
      <u/>
      <sz val="10"/>
      <name val="Arial"/>
      <family val="2"/>
    </font>
    <font>
      <b/>
      <sz val="11"/>
      <color indexed="9"/>
      <name val="Arial"/>
      <family val="2"/>
    </font>
    <font>
      <b/>
      <sz val="10"/>
      <color indexed="9"/>
      <name val="Arial"/>
      <family val="2"/>
    </font>
    <font>
      <sz val="8"/>
      <name val="Arial"/>
      <family val="2"/>
    </font>
    <font>
      <sz val="9"/>
      <name val="Arial"/>
      <family val="2"/>
    </font>
    <font>
      <b/>
      <sz val="9"/>
      <color indexed="9"/>
      <name val="Arial"/>
      <family val="2"/>
    </font>
    <font>
      <b/>
      <sz val="20"/>
      <name val="Arial"/>
      <family val="2"/>
    </font>
    <font>
      <b/>
      <i/>
      <sz val="20"/>
      <name val="Arial"/>
      <family val="2"/>
    </font>
    <font>
      <b/>
      <i/>
      <sz val="10"/>
      <name val="Arial"/>
      <family val="2"/>
    </font>
    <font>
      <b/>
      <sz val="11"/>
      <color theme="1"/>
      <name val="Calibri"/>
      <family val="2"/>
      <scheme val="minor"/>
    </font>
    <font>
      <b/>
      <u/>
      <sz val="11"/>
      <color theme="1"/>
      <name val="Calibri"/>
      <family val="2"/>
      <scheme val="minor"/>
    </font>
    <font>
      <sz val="11"/>
      <color rgb="FF92D050"/>
      <name val="Calibri"/>
      <family val="2"/>
      <scheme val="minor"/>
    </font>
    <font>
      <sz val="11"/>
      <name val="Calibri"/>
      <family val="2"/>
      <scheme val="minor"/>
    </font>
    <font>
      <b/>
      <sz val="11"/>
      <name val="Calibri"/>
      <family val="2"/>
      <scheme val="minor"/>
    </font>
    <font>
      <sz val="11"/>
      <name val="Arial"/>
      <family val="2"/>
    </font>
    <font>
      <i/>
      <sz val="10"/>
      <name val="Arial"/>
      <family val="2"/>
    </font>
    <font>
      <b/>
      <i/>
      <sz val="12"/>
      <name val="Arial"/>
      <family val="2"/>
    </font>
    <font>
      <u/>
      <sz val="11"/>
      <color indexed="9"/>
      <name val="Arial"/>
      <family val="2"/>
    </font>
    <font>
      <b/>
      <u/>
      <sz val="11"/>
      <name val="Arial"/>
      <family val="2"/>
    </font>
    <font>
      <b/>
      <i/>
      <sz val="11"/>
      <name val="Arial"/>
      <family val="2"/>
    </font>
    <font>
      <b/>
      <u/>
      <sz val="11"/>
      <color theme="1"/>
      <name val="Arial"/>
      <family val="2"/>
    </font>
    <font>
      <b/>
      <sz val="10"/>
      <color theme="1"/>
      <name val="Arial"/>
      <family val="2"/>
    </font>
    <font>
      <b/>
      <sz val="10"/>
      <color theme="0"/>
      <name val="Arial"/>
      <family val="2"/>
    </font>
    <font>
      <b/>
      <i/>
      <sz val="11"/>
      <color theme="0"/>
      <name val="Arial"/>
      <family val="2"/>
    </font>
    <font>
      <sz val="10"/>
      <color theme="1"/>
      <name val="Arial"/>
      <family val="2"/>
    </font>
    <font>
      <b/>
      <u/>
      <sz val="11"/>
      <color rgb="FFFF0000"/>
      <name val="Arial"/>
      <family val="2"/>
    </font>
    <font>
      <b/>
      <sz val="11"/>
      <color theme="1"/>
      <name val="Arial"/>
      <family val="2"/>
    </font>
    <font>
      <b/>
      <sz val="11"/>
      <color theme="0"/>
      <name val="Arial"/>
      <family val="2"/>
    </font>
    <font>
      <b/>
      <sz val="14"/>
      <color indexed="9"/>
      <name val="Arial"/>
      <family val="2"/>
    </font>
    <font>
      <b/>
      <sz val="14"/>
      <color theme="0"/>
      <name val="Arial"/>
      <family val="2"/>
    </font>
    <font>
      <b/>
      <sz val="11"/>
      <color rgb="FFFF0000"/>
      <name val="Arial"/>
      <family val="2"/>
    </font>
    <font>
      <b/>
      <sz val="9"/>
      <name val="Arial"/>
      <family val="2"/>
    </font>
    <font>
      <b/>
      <sz val="11"/>
      <color theme="8" tint="0.79998168889431442"/>
      <name val="Arial"/>
      <family val="2"/>
    </font>
    <font>
      <b/>
      <i/>
      <u/>
      <sz val="10"/>
      <name val="Arial"/>
      <family val="2"/>
    </font>
  </fonts>
  <fills count="14">
    <fill>
      <patternFill patternType="none"/>
    </fill>
    <fill>
      <patternFill patternType="gray125"/>
    </fill>
    <fill>
      <patternFill patternType="solid">
        <fgColor indexed="8"/>
        <bgColor indexed="64"/>
      </patternFill>
    </fill>
    <fill>
      <patternFill patternType="solid">
        <fgColor indexed="42"/>
        <bgColor indexed="64"/>
      </patternFill>
    </fill>
    <fill>
      <patternFill patternType="solid">
        <fgColor indexed="43"/>
        <bgColor indexed="64"/>
      </patternFill>
    </fill>
    <fill>
      <patternFill patternType="solid">
        <fgColor indexed="17"/>
        <bgColor indexed="64"/>
      </patternFill>
    </fill>
    <fill>
      <patternFill patternType="solid">
        <fgColor indexed="9"/>
        <bgColor indexed="64"/>
      </patternFill>
    </fill>
    <fill>
      <patternFill patternType="solid">
        <fgColor indexed="51"/>
        <bgColor indexed="64"/>
      </patternFill>
    </fill>
    <fill>
      <patternFill patternType="solid">
        <fgColor rgb="FFFFFF66"/>
        <bgColor indexed="64"/>
      </patternFill>
    </fill>
    <fill>
      <patternFill patternType="solid">
        <fgColor rgb="FF99FF99"/>
        <bgColor indexed="64"/>
      </patternFill>
    </fill>
    <fill>
      <patternFill patternType="solid">
        <fgColor rgb="FFFFFF99"/>
        <bgColor indexed="64"/>
      </patternFill>
    </fill>
    <fill>
      <patternFill patternType="solid">
        <fgColor theme="0"/>
        <bgColor indexed="64"/>
      </patternFill>
    </fill>
    <fill>
      <patternFill patternType="solid">
        <fgColor theme="0" tint="-0.14996795556505021"/>
        <bgColor indexed="64"/>
      </patternFill>
    </fill>
    <fill>
      <patternFill patternType="solid">
        <fgColor rgb="FF008000"/>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653">
    <xf numFmtId="0" fontId="0" fillId="0" borderId="0" xfId="0"/>
    <xf numFmtId="0" fontId="0" fillId="0" borderId="0" xfId="0" applyFill="1"/>
    <xf numFmtId="0" fontId="2" fillId="0" borderId="0" xfId="0" applyFont="1"/>
    <xf numFmtId="0" fontId="6" fillId="0" borderId="0" xfId="0" applyFont="1"/>
    <xf numFmtId="0" fontId="0" fillId="0" borderId="0" xfId="0" applyBorder="1"/>
    <xf numFmtId="0" fontId="0" fillId="2" borderId="0" xfId="0" applyFill="1"/>
    <xf numFmtId="0" fontId="0" fillId="0" borderId="1" xfId="0" applyBorder="1"/>
    <xf numFmtId="0" fontId="0" fillId="0" borderId="2" xfId="0" applyBorder="1"/>
    <xf numFmtId="0" fontId="0" fillId="0" borderId="3" xfId="0" applyBorder="1"/>
    <xf numFmtId="1" fontId="0" fillId="0" borderId="0" xfId="0" applyNumberFormat="1"/>
    <xf numFmtId="0" fontId="0" fillId="0" borderId="0" xfId="0" applyNumberFormat="1"/>
    <xf numFmtId="42" fontId="0" fillId="0" borderId="0" xfId="0" applyNumberFormat="1"/>
    <xf numFmtId="44" fontId="0" fillId="0" borderId="0" xfId="0" applyNumberFormat="1"/>
    <xf numFmtId="0" fontId="0" fillId="0" borderId="0" xfId="0" applyNumberFormat="1" applyProtection="1"/>
    <xf numFmtId="0" fontId="0" fillId="0" borderId="0" xfId="0" applyAlignment="1"/>
    <xf numFmtId="0" fontId="0" fillId="0" borderId="0" xfId="0" applyAlignment="1">
      <alignment horizontal="center"/>
    </xf>
    <xf numFmtId="0" fontId="0" fillId="3" borderId="0" xfId="0" applyFill="1" applyBorder="1"/>
    <xf numFmtId="0" fontId="0" fillId="3" borderId="4" xfId="0" applyFill="1" applyBorder="1"/>
    <xf numFmtId="0" fontId="0" fillId="3" borderId="1" xfId="0" applyFill="1" applyBorder="1"/>
    <xf numFmtId="0" fontId="0" fillId="3" borderId="2" xfId="0" applyFill="1" applyBorder="1"/>
    <xf numFmtId="0" fontId="0" fillId="3" borderId="3" xfId="0" applyFill="1" applyBorder="1"/>
    <xf numFmtId="0" fontId="9" fillId="3" borderId="5" xfId="0" applyFont="1" applyFill="1" applyBorder="1"/>
    <xf numFmtId="0" fontId="2" fillId="0" borderId="0" xfId="0" applyFont="1" applyAlignment="1">
      <alignment horizontal="left"/>
    </xf>
    <xf numFmtId="0" fontId="0" fillId="0" borderId="0" xfId="0" applyNumberFormat="1" applyAlignment="1">
      <alignment horizontal="left"/>
    </xf>
    <xf numFmtId="0" fontId="0" fillId="0" borderId="0" xfId="0" applyNumberFormat="1" applyProtection="1">
      <protection locked="0"/>
    </xf>
    <xf numFmtId="14" fontId="0" fillId="0" borderId="0" xfId="0" applyNumberFormat="1" applyAlignment="1">
      <alignment horizontal="left"/>
    </xf>
    <xf numFmtId="0" fontId="9" fillId="3" borderId="1" xfId="0" applyFont="1" applyFill="1" applyBorder="1"/>
    <xf numFmtId="0" fontId="15" fillId="3" borderId="2" xfId="0" applyFont="1" applyFill="1" applyBorder="1"/>
    <xf numFmtId="0" fontId="0" fillId="3" borderId="1" xfId="0"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1" fontId="0" fillId="0" borderId="0" xfId="0" applyNumberFormat="1" applyFill="1"/>
    <xf numFmtId="0" fontId="0" fillId="0" borderId="5" xfId="0" applyBorder="1"/>
    <xf numFmtId="0" fontId="0" fillId="3" borderId="6" xfId="0" applyFill="1" applyBorder="1" applyProtection="1">
      <protection locked="0"/>
    </xf>
    <xf numFmtId="0" fontId="0" fillId="0" borderId="6" xfId="0" applyBorder="1" applyProtection="1">
      <protection locked="0"/>
    </xf>
    <xf numFmtId="0" fontId="0" fillId="0" borderId="6" xfId="0" applyBorder="1" applyAlignment="1" applyProtection="1">
      <alignment horizontal="center"/>
      <protection locked="0"/>
    </xf>
    <xf numFmtId="0" fontId="15" fillId="0" borderId="6" xfId="0" applyFont="1" applyBorder="1" applyAlignment="1" applyProtection="1">
      <alignment horizontal="center"/>
      <protection locked="0"/>
    </xf>
    <xf numFmtId="0" fontId="0" fillId="0" borderId="7" xfId="0" applyBorder="1" applyAlignment="1" applyProtection="1">
      <alignment horizontal="center"/>
      <protection locked="0"/>
    </xf>
    <xf numFmtId="0" fontId="0" fillId="0" borderId="0" xfId="0" applyBorder="1" applyAlignment="1" applyProtection="1">
      <alignment horizontal="left" vertical="top" wrapText="1"/>
    </xf>
    <xf numFmtId="0" fontId="0" fillId="0" borderId="0" xfId="0" applyProtection="1"/>
    <xf numFmtId="42" fontId="0" fillId="0" borderId="0" xfId="0" applyNumberFormat="1" applyAlignment="1"/>
    <xf numFmtId="0" fontId="9" fillId="0" borderId="0" xfId="0" applyFont="1"/>
    <xf numFmtId="0" fontId="0" fillId="0" borderId="0" xfId="0" applyAlignment="1">
      <alignment vertical="center"/>
    </xf>
    <xf numFmtId="0" fontId="17" fillId="0" borderId="0" xfId="0" applyFont="1"/>
    <xf numFmtId="0" fontId="0" fillId="0" borderId="0" xfId="0" applyFill="1" applyAlignment="1">
      <alignment vertical="center"/>
    </xf>
    <xf numFmtId="0" fontId="0" fillId="0" borderId="0" xfId="0" applyBorder="1" applyProtection="1"/>
    <xf numFmtId="0" fontId="0" fillId="0" borderId="0" xfId="0" applyAlignment="1" applyProtection="1">
      <alignment vertical="top" wrapText="1"/>
    </xf>
    <xf numFmtId="0" fontId="0" fillId="0" borderId="11" xfId="0" applyBorder="1" applyProtection="1"/>
    <xf numFmtId="0" fontId="10" fillId="0" borderId="11" xfId="0" applyFont="1" applyBorder="1" applyAlignment="1" applyProtection="1">
      <alignment horizontal="center"/>
    </xf>
    <xf numFmtId="0" fontId="10" fillId="0" borderId="11" xfId="0" applyFont="1" applyBorder="1" applyAlignment="1" applyProtection="1"/>
    <xf numFmtId="0" fontId="10" fillId="0" borderId="0" xfId="0" applyFont="1" applyBorder="1" applyAlignment="1" applyProtection="1"/>
    <xf numFmtId="0" fontId="2" fillId="0" borderId="0" xfId="0" applyFont="1" applyAlignment="1" applyProtection="1">
      <alignment horizontal="center"/>
    </xf>
    <xf numFmtId="0" fontId="2" fillId="0" borderId="0" xfId="0" applyFont="1" applyProtection="1"/>
    <xf numFmtId="0" fontId="10" fillId="0" borderId="11" xfId="0" applyFont="1" applyBorder="1" applyProtection="1"/>
    <xf numFmtId="0" fontId="10" fillId="0" borderId="0" xfId="0" applyFont="1" applyAlignment="1" applyProtection="1"/>
    <xf numFmtId="0" fontId="10" fillId="0" borderId="0" xfId="0" applyFont="1" applyProtection="1"/>
    <xf numFmtId="0" fontId="6" fillId="0" borderId="0" xfId="0" applyFont="1" applyBorder="1" applyAlignment="1" applyProtection="1">
      <alignment vertical="top" wrapText="1"/>
    </xf>
    <xf numFmtId="0" fontId="5" fillId="0" borderId="0" xfId="0" applyFont="1" applyFill="1" applyBorder="1" applyAlignment="1" applyProtection="1">
      <alignment horizontal="center"/>
    </xf>
    <xf numFmtId="0" fontId="0" fillId="0" borderId="12" xfId="0" applyBorder="1" applyProtection="1"/>
    <xf numFmtId="0" fontId="0" fillId="0" borderId="13" xfId="0" applyBorder="1" applyProtection="1"/>
    <xf numFmtId="0" fontId="0" fillId="0" borderId="1" xfId="0" applyBorder="1" applyProtection="1"/>
    <xf numFmtId="0" fontId="0" fillId="0" borderId="2" xfId="0" applyBorder="1" applyProtection="1"/>
    <xf numFmtId="0" fontId="0" fillId="0" borderId="3" xfId="0" applyBorder="1" applyProtection="1"/>
    <xf numFmtId="0" fontId="0" fillId="5" borderId="0" xfId="0" applyFill="1" applyBorder="1" applyAlignment="1" applyProtection="1">
      <alignment horizontal="left"/>
    </xf>
    <xf numFmtId="0" fontId="0" fillId="5" borderId="4" xfId="0" applyFill="1" applyBorder="1" applyAlignment="1" applyProtection="1">
      <alignment horizontal="left"/>
    </xf>
    <xf numFmtId="0" fontId="0" fillId="5" borderId="13" xfId="0" applyFill="1" applyBorder="1" applyAlignment="1" applyProtection="1">
      <alignment horizontal="left"/>
    </xf>
    <xf numFmtId="0" fontId="0" fillId="5" borderId="14" xfId="0" applyFill="1" applyBorder="1" applyAlignment="1" applyProtection="1">
      <alignment horizontal="left"/>
    </xf>
    <xf numFmtId="0" fontId="13" fillId="5" borderId="10" xfId="0" applyFont="1" applyFill="1" applyBorder="1" applyAlignment="1" applyProtection="1"/>
    <xf numFmtId="0" fontId="13" fillId="5" borderId="8" xfId="0" applyFont="1" applyFill="1" applyBorder="1" applyAlignment="1" applyProtection="1"/>
    <xf numFmtId="0" fontId="13" fillId="5" borderId="9" xfId="0" applyFont="1" applyFill="1" applyBorder="1" applyAlignment="1" applyProtection="1"/>
    <xf numFmtId="0" fontId="0" fillId="0" borderId="0" xfId="0" applyNumberFormat="1" applyBorder="1" applyAlignment="1" applyProtection="1">
      <alignment horizontal="left" vertical="top" wrapText="1"/>
    </xf>
    <xf numFmtId="0" fontId="12" fillId="0" borderId="0" xfId="0" applyFont="1" applyFill="1" applyBorder="1" applyAlignment="1" applyProtection="1">
      <alignment horizontal="center" vertical="center" wrapText="1"/>
    </xf>
    <xf numFmtId="0" fontId="0" fillId="0" borderId="0" xfId="0" applyAlignment="1" applyProtection="1">
      <alignment vertical="top"/>
    </xf>
    <xf numFmtId="0" fontId="22" fillId="0" borderId="0" xfId="0" applyFont="1" applyProtection="1"/>
    <xf numFmtId="0" fontId="0" fillId="0" borderId="0" xfId="0" applyBorder="1" applyAlignment="1" applyProtection="1">
      <alignment vertical="top" wrapText="1"/>
    </xf>
    <xf numFmtId="0" fontId="0" fillId="0" borderId="0" xfId="0" applyAlignment="1" applyProtection="1">
      <alignment horizontal="right"/>
    </xf>
    <xf numFmtId="0" fontId="0" fillId="0" borderId="5" xfId="0" applyFill="1" applyBorder="1" applyAlignment="1" applyProtection="1">
      <alignment horizontal="center"/>
    </xf>
    <xf numFmtId="0" fontId="0" fillId="0" borderId="0" xfId="0" applyNumberFormat="1" applyBorder="1" applyAlignment="1" applyProtection="1">
      <alignment horizontal="justify" vertical="top" wrapText="1"/>
    </xf>
    <xf numFmtId="0" fontId="13" fillId="0" borderId="5" xfId="0" applyFont="1" applyFill="1" applyBorder="1" applyAlignment="1" applyProtection="1">
      <alignment horizontal="left"/>
    </xf>
    <xf numFmtId="0" fontId="13" fillId="0" borderId="0" xfId="0" applyFont="1" applyFill="1" applyBorder="1" applyAlignment="1" applyProtection="1">
      <alignment horizontal="left"/>
    </xf>
    <xf numFmtId="0" fontId="13" fillId="0" borderId="2" xfId="0" applyFont="1" applyFill="1" applyBorder="1" applyAlignment="1" applyProtection="1">
      <alignment horizontal="left"/>
    </xf>
    <xf numFmtId="0" fontId="13" fillId="0" borderId="3" xfId="0" applyFont="1" applyFill="1" applyBorder="1" applyAlignment="1" applyProtection="1">
      <alignment horizontal="left"/>
    </xf>
    <xf numFmtId="0" fontId="0" fillId="0" borderId="0" xfId="0" applyFill="1" applyBorder="1" applyAlignment="1" applyProtection="1">
      <alignment horizontal="center"/>
    </xf>
    <xf numFmtId="0" fontId="0" fillId="0" borderId="0" xfId="0" applyFill="1" applyBorder="1" applyAlignment="1" applyProtection="1">
      <alignment horizontal="left"/>
    </xf>
    <xf numFmtId="0" fontId="0" fillId="0" borderId="4" xfId="0" applyFill="1" applyBorder="1" applyAlignment="1" applyProtection="1">
      <alignment horizontal="left"/>
    </xf>
    <xf numFmtId="0" fontId="3" fillId="5" borderId="2" xfId="0" applyFont="1" applyFill="1" applyBorder="1" applyAlignment="1" applyProtection="1"/>
    <xf numFmtId="0" fontId="3" fillId="5" borderId="3" xfId="0" applyFont="1" applyFill="1" applyBorder="1" applyAlignment="1" applyProtection="1"/>
    <xf numFmtId="0" fontId="3" fillId="5" borderId="0" xfId="0" applyFont="1" applyFill="1" applyBorder="1" applyAlignment="1" applyProtection="1"/>
    <xf numFmtId="0" fontId="3" fillId="5" borderId="4" xfId="0" applyFont="1" applyFill="1" applyBorder="1" applyAlignment="1" applyProtection="1"/>
    <xf numFmtId="0" fontId="13" fillId="0" borderId="5"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0" fillId="0" borderId="5" xfId="0" applyBorder="1" applyProtection="1"/>
    <xf numFmtId="0" fontId="0" fillId="0" borderId="4" xfId="0" applyBorder="1" applyProtection="1"/>
    <xf numFmtId="0" fontId="21" fillId="0" borderId="5" xfId="0" applyFont="1" applyBorder="1" applyAlignment="1" applyProtection="1">
      <alignment vertical="center"/>
    </xf>
    <xf numFmtId="0" fontId="0" fillId="0" borderId="0" xfId="0" applyBorder="1" applyAlignment="1" applyProtection="1"/>
    <xf numFmtId="0" fontId="0" fillId="0" borderId="4" xfId="0" applyBorder="1" applyAlignment="1" applyProtection="1"/>
    <xf numFmtId="0" fontId="9" fillId="0" borderId="5" xfId="0" applyFont="1" applyBorder="1" applyProtection="1"/>
    <xf numFmtId="41" fontId="0" fillId="0" borderId="0" xfId="0" applyNumberFormat="1" applyFill="1" applyBorder="1" applyAlignment="1" applyProtection="1"/>
    <xf numFmtId="41" fontId="0" fillId="0" borderId="4" xfId="0" applyNumberFormat="1" applyFill="1" applyBorder="1" applyAlignment="1" applyProtection="1"/>
    <xf numFmtId="0" fontId="0" fillId="0" borderId="0" xfId="0" applyBorder="1" applyAlignment="1" applyProtection="1">
      <alignment vertical="center"/>
    </xf>
    <xf numFmtId="41" fontId="0" fillId="0" borderId="0" xfId="0" applyNumberFormat="1" applyFill="1" applyBorder="1" applyAlignment="1" applyProtection="1">
      <alignment vertical="center"/>
    </xf>
    <xf numFmtId="41" fontId="0" fillId="0" borderId="4" xfId="0" applyNumberFormat="1" applyFill="1" applyBorder="1" applyAlignment="1" applyProtection="1">
      <alignment vertical="center"/>
    </xf>
    <xf numFmtId="0" fontId="0" fillId="0" borderId="5" xfId="0" applyFill="1" applyBorder="1" applyProtection="1"/>
    <xf numFmtId="0" fontId="0" fillId="0" borderId="12" xfId="0" applyFill="1" applyBorder="1" applyProtection="1"/>
    <xf numFmtId="0" fontId="3" fillId="11" borderId="3" xfId="0" applyFont="1" applyFill="1" applyBorder="1" applyAlignment="1" applyProtection="1"/>
    <xf numFmtId="0" fontId="0" fillId="11" borderId="4" xfId="0" applyFill="1" applyBorder="1" applyProtection="1"/>
    <xf numFmtId="0" fontId="0" fillId="11" borderId="14" xfId="0" applyFill="1" applyBorder="1" applyAlignment="1" applyProtection="1">
      <alignment horizontal="left"/>
    </xf>
    <xf numFmtId="0" fontId="3" fillId="5" borderId="0" xfId="0" applyFont="1" applyFill="1" applyBorder="1" applyAlignment="1" applyProtection="1">
      <alignment horizontal="left" indent="1"/>
    </xf>
    <xf numFmtId="0" fontId="0" fillId="0" borderId="0" xfId="0" applyFill="1" applyAlignment="1">
      <alignment horizontal="left" vertical="center"/>
    </xf>
    <xf numFmtId="0" fontId="25" fillId="0" borderId="0" xfId="0" applyFont="1" applyProtection="1"/>
    <xf numFmtId="0" fontId="25" fillId="0" borderId="0" xfId="0" applyFont="1"/>
    <xf numFmtId="0" fontId="0" fillId="0" borderId="4" xfId="0" applyBorder="1" applyAlignment="1" applyProtection="1">
      <alignment vertical="top" wrapText="1"/>
    </xf>
    <xf numFmtId="0" fontId="0" fillId="0" borderId="5" xfId="0" applyBorder="1" applyAlignment="1" applyProtection="1">
      <alignment vertical="top" wrapText="1"/>
    </xf>
    <xf numFmtId="0" fontId="1" fillId="0" borderId="0" xfId="0" applyFont="1"/>
    <xf numFmtId="0" fontId="6" fillId="0" borderId="5"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4" xfId="0" applyFont="1" applyBorder="1" applyAlignment="1" applyProtection="1">
      <alignment horizontal="left" vertical="top" wrapText="1"/>
    </xf>
    <xf numFmtId="0" fontId="0" fillId="0" borderId="12" xfId="0" applyNumberFormat="1" applyBorder="1" applyAlignment="1" applyProtection="1">
      <alignment horizontal="justify" vertical="top" wrapText="1"/>
    </xf>
    <xf numFmtId="0" fontId="0" fillId="0" borderId="13" xfId="0" applyNumberFormat="1" applyBorder="1" applyAlignment="1" applyProtection="1">
      <alignment horizontal="justify" vertical="top" wrapText="1"/>
    </xf>
    <xf numFmtId="0" fontId="0" fillId="0" borderId="14" xfId="0" applyNumberFormat="1" applyBorder="1" applyAlignment="1" applyProtection="1">
      <alignment horizontal="justify" vertical="top" wrapText="1"/>
    </xf>
    <xf numFmtId="0" fontId="19" fillId="0" borderId="0" xfId="0" applyFont="1" applyFill="1" applyAlignment="1" applyProtection="1">
      <alignment vertical="center"/>
    </xf>
    <xf numFmtId="0" fontId="9" fillId="0" borderId="0" xfId="0" applyFont="1" applyBorder="1" applyAlignment="1" applyProtection="1">
      <alignment vertical="top" wrapText="1"/>
    </xf>
    <xf numFmtId="0" fontId="9" fillId="0" borderId="0" xfId="0" applyFont="1" applyBorder="1" applyAlignment="1" applyProtection="1">
      <alignment horizontal="left" vertical="top" wrapText="1"/>
    </xf>
    <xf numFmtId="0" fontId="21" fillId="0" borderId="5" xfId="0" applyFont="1" applyBorder="1" applyProtection="1"/>
    <xf numFmtId="41" fontId="0" fillId="0" borderId="0" xfId="0" applyNumberFormat="1" applyBorder="1" applyAlignment="1" applyProtection="1">
      <alignment horizontal="center"/>
    </xf>
    <xf numFmtId="41" fontId="0" fillId="0" borderId="0" xfId="0" applyNumberFormat="1" applyFill="1" applyBorder="1" applyAlignment="1" applyProtection="1">
      <alignment horizontal="center"/>
    </xf>
    <xf numFmtId="41" fontId="0" fillId="0" borderId="4" xfId="0" applyNumberFormat="1" applyFill="1" applyBorder="1" applyAlignment="1" applyProtection="1">
      <alignment horizontal="center"/>
    </xf>
    <xf numFmtId="0" fontId="21" fillId="0" borderId="5" xfId="0" applyFont="1" applyFill="1" applyBorder="1" applyProtection="1"/>
    <xf numFmtId="0" fontId="0" fillId="0" borderId="0" xfId="0" applyFill="1" applyBorder="1" applyProtection="1"/>
    <xf numFmtId="0" fontId="6" fillId="8" borderId="6" xfId="0" applyFont="1" applyFill="1" applyBorder="1" applyAlignment="1" applyProtection="1">
      <alignment horizontal="center" vertical="center"/>
    </xf>
    <xf numFmtId="41" fontId="0" fillId="0" borderId="0" xfId="0" applyNumberFormat="1" applyAlignment="1" applyProtection="1"/>
    <xf numFmtId="0" fontId="1" fillId="0" borderId="0" xfId="0" applyFont="1" applyFill="1" applyBorder="1" applyAlignment="1" applyProtection="1">
      <alignment horizontal="left"/>
    </xf>
    <xf numFmtId="43" fontId="0" fillId="0" borderId="0" xfId="0" applyNumberFormat="1" applyFill="1" applyBorder="1" applyAlignment="1" applyProtection="1"/>
    <xf numFmtId="0" fontId="19" fillId="0" borderId="0" xfId="0" applyFont="1" applyFill="1" applyAlignment="1" applyProtection="1">
      <alignment horizontal="left" vertical="center" indent="2"/>
    </xf>
    <xf numFmtId="0" fontId="26" fillId="0" borderId="0" xfId="0" applyFont="1" applyFill="1" applyProtection="1"/>
    <xf numFmtId="0" fontId="26" fillId="0" borderId="0" xfId="0" applyFont="1" applyFill="1"/>
    <xf numFmtId="0" fontId="9" fillId="0" borderId="0" xfId="0" applyFont="1" applyFill="1" applyBorder="1" applyProtection="1"/>
    <xf numFmtId="41" fontId="25" fillId="0" borderId="0" xfId="0" applyNumberFormat="1" applyFont="1" applyFill="1" applyBorder="1" applyAlignment="1" applyProtection="1"/>
    <xf numFmtId="0" fontId="23" fillId="0" borderId="0" xfId="0" applyFont="1" applyFill="1" applyBorder="1" applyProtection="1"/>
    <xf numFmtId="0" fontId="20" fillId="0" borderId="0" xfId="0" applyFont="1" applyFill="1" applyBorder="1" applyProtection="1"/>
    <xf numFmtId="43" fontId="0" fillId="0" borderId="4" xfId="0" applyNumberFormat="1" applyFill="1" applyBorder="1" applyAlignment="1" applyProtection="1"/>
    <xf numFmtId="43" fontId="0" fillId="0" borderId="0" xfId="0" applyNumberFormat="1" applyFill="1" applyBorder="1" applyProtection="1"/>
    <xf numFmtId="43" fontId="0" fillId="0" borderId="4" xfId="0" applyNumberFormat="1" applyFill="1" applyBorder="1" applyProtection="1"/>
    <xf numFmtId="0" fontId="20" fillId="0" borderId="13" xfId="0" applyFont="1" applyFill="1" applyBorder="1" applyProtection="1"/>
    <xf numFmtId="0" fontId="0" fillId="0" borderId="13" xfId="0" applyFill="1" applyBorder="1" applyProtection="1"/>
    <xf numFmtId="43" fontId="0" fillId="0" borderId="13" xfId="0" applyNumberFormat="1" applyFill="1" applyBorder="1" applyProtection="1"/>
    <xf numFmtId="43" fontId="0" fillId="0" borderId="14" xfId="0" applyNumberFormat="1" applyFill="1" applyBorder="1" applyProtection="1"/>
    <xf numFmtId="0" fontId="5" fillId="0" borderId="0" xfId="0" applyFont="1" applyFill="1" applyBorder="1" applyAlignment="1" applyProtection="1">
      <alignment horizontal="right"/>
    </xf>
    <xf numFmtId="0" fontId="27" fillId="0" borderId="0" xfId="0" applyFont="1" applyFill="1" applyBorder="1" applyAlignment="1" applyProtection="1">
      <alignment horizontal="left" indent="1"/>
    </xf>
    <xf numFmtId="0" fontId="26" fillId="0" borderId="0" xfId="0" applyFont="1" applyFill="1" applyAlignment="1" applyProtection="1">
      <alignment horizontal="left"/>
    </xf>
    <xf numFmtId="0" fontId="0" fillId="0" borderId="0" xfId="0" applyFill="1" applyBorder="1"/>
    <xf numFmtId="0" fontId="20" fillId="0" borderId="0" xfId="0" applyFont="1" applyFill="1" applyBorder="1" applyAlignment="1" applyProtection="1">
      <alignment horizontal="center" vertical="center"/>
    </xf>
    <xf numFmtId="0" fontId="20" fillId="0" borderId="4" xfId="0" applyFont="1" applyFill="1" applyBorder="1" applyAlignment="1" applyProtection="1">
      <alignment horizontal="center" wrapText="1"/>
    </xf>
    <xf numFmtId="0" fontId="1" fillId="0" borderId="0" xfId="0" applyFont="1" applyFill="1" applyBorder="1" applyProtection="1"/>
    <xf numFmtId="41" fontId="1" fillId="0" borderId="0" xfId="0" applyNumberFormat="1" applyFont="1" applyFill="1" applyBorder="1" applyAlignment="1" applyProtection="1">
      <alignment horizontal="center"/>
    </xf>
    <xf numFmtId="0" fontId="1" fillId="0" borderId="13" xfId="0" applyFont="1" applyFill="1" applyBorder="1" applyProtection="1"/>
    <xf numFmtId="41" fontId="1" fillId="0" borderId="13" xfId="0" applyNumberFormat="1" applyFont="1" applyFill="1" applyBorder="1" applyAlignment="1" applyProtection="1">
      <alignment horizontal="center"/>
    </xf>
    <xf numFmtId="0" fontId="0" fillId="0" borderId="12" xfId="0" applyBorder="1" applyAlignment="1" applyProtection="1">
      <alignment horizontal="center" vertical="center"/>
    </xf>
    <xf numFmtId="0" fontId="0" fillId="0" borderId="0" xfId="0" applyAlignment="1">
      <alignment horizontal="center" vertical="center"/>
    </xf>
    <xf numFmtId="0" fontId="27" fillId="0" borderId="0" xfId="0" applyFont="1" applyFill="1" applyBorder="1" applyAlignment="1" applyProtection="1"/>
    <xf numFmtId="0" fontId="25" fillId="0" borderId="0" xfId="0" applyFont="1" applyFill="1" applyBorder="1" applyAlignment="1" applyProtection="1">
      <alignment horizontal="left" indent="2"/>
    </xf>
    <xf numFmtId="0" fontId="24" fillId="0" borderId="0" xfId="0" applyFont="1" applyFill="1" applyBorder="1" applyAlignment="1" applyProtection="1">
      <alignment horizontal="right" vertical="top" indent="2"/>
    </xf>
    <xf numFmtId="43" fontId="24" fillId="0" borderId="0" xfId="0" applyNumberFormat="1" applyFont="1" applyFill="1" applyBorder="1" applyAlignment="1" applyProtection="1">
      <alignment horizontal="center" vertical="center"/>
    </xf>
    <xf numFmtId="0" fontId="0" fillId="0" borderId="8" xfId="0" applyBorder="1" applyAlignment="1" applyProtection="1">
      <alignment horizontal="left" vertical="top" wrapText="1"/>
    </xf>
    <xf numFmtId="0" fontId="20" fillId="0" borderId="0" xfId="0" applyFont="1" applyFill="1" applyBorder="1" applyAlignment="1" applyProtection="1">
      <alignment horizontal="right" indent="2"/>
    </xf>
    <xf numFmtId="0" fontId="9" fillId="0" borderId="5" xfId="0" applyFont="1" applyFill="1" applyBorder="1" applyProtection="1"/>
    <xf numFmtId="0" fontId="0" fillId="0" borderId="5" xfId="0" applyBorder="1" applyAlignment="1" applyProtection="1">
      <alignment vertical="center"/>
    </xf>
    <xf numFmtId="0" fontId="31" fillId="0" borderId="4" xfId="0" applyFont="1" applyBorder="1" applyAlignment="1" applyProtection="1">
      <alignment horizontal="left" vertical="top" indent="1"/>
    </xf>
    <xf numFmtId="0" fontId="5" fillId="0" borderId="0" xfId="0" applyFont="1" applyFill="1" applyBorder="1" applyAlignment="1" applyProtection="1">
      <alignment horizontal="center" vertical="center"/>
    </xf>
    <xf numFmtId="0" fontId="27" fillId="0" borderId="0" xfId="0" applyFont="1" applyFill="1" applyBorder="1" applyAlignment="1" applyProtection="1">
      <alignment horizontal="left" vertical="center"/>
    </xf>
    <xf numFmtId="0" fontId="30" fillId="0" borderId="0" xfId="0" applyFont="1" applyFill="1"/>
    <xf numFmtId="0" fontId="4" fillId="8" borderId="6" xfId="0" applyFont="1" applyFill="1" applyBorder="1" applyAlignment="1">
      <alignment horizontal="center" vertical="center"/>
    </xf>
    <xf numFmtId="0" fontId="27" fillId="0" borderId="0" xfId="0" applyFont="1" applyFill="1" applyBorder="1" applyAlignment="1" applyProtection="1">
      <alignment horizontal="left"/>
    </xf>
    <xf numFmtId="41" fontId="6" fillId="8" borderId="6" xfId="0" applyNumberFormat="1" applyFont="1" applyFill="1" applyBorder="1" applyProtection="1"/>
    <xf numFmtId="41" fontId="6" fillId="8" borderId="6" xfId="0" applyNumberFormat="1" applyFont="1" applyFill="1" applyBorder="1" applyAlignment="1" applyProtection="1"/>
    <xf numFmtId="41" fontId="6" fillId="8" borderId="6" xfId="0" applyNumberFormat="1" applyFont="1" applyFill="1" applyBorder="1"/>
    <xf numFmtId="0" fontId="0" fillId="0" borderId="0" xfId="0" applyFill="1" applyBorder="1" applyAlignment="1">
      <alignment horizontal="left" vertical="center"/>
    </xf>
    <xf numFmtId="0" fontId="9" fillId="0" borderId="0" xfId="0" applyFont="1" applyBorder="1" applyProtection="1"/>
    <xf numFmtId="41" fontId="9" fillId="0" borderId="0" xfId="0" applyNumberFormat="1" applyFont="1" applyFill="1" applyBorder="1" applyAlignment="1" applyProtection="1"/>
    <xf numFmtId="41" fontId="9" fillId="0" borderId="4" xfId="0" applyNumberFormat="1" applyFont="1" applyFill="1" applyBorder="1" applyAlignment="1" applyProtection="1"/>
    <xf numFmtId="41" fontId="25" fillId="0" borderId="0" xfId="0" applyNumberFormat="1" applyFont="1" applyFill="1" applyBorder="1" applyAlignment="1" applyProtection="1">
      <alignment horizontal="center"/>
    </xf>
    <xf numFmtId="41" fontId="0" fillId="0" borderId="13" xfId="0" applyNumberFormat="1" applyFill="1" applyBorder="1" applyAlignment="1" applyProtection="1">
      <alignment horizontal="center"/>
    </xf>
    <xf numFmtId="41" fontId="0" fillId="0" borderId="14" xfId="0" applyNumberFormat="1" applyFill="1" applyBorder="1" applyAlignment="1" applyProtection="1">
      <alignment horizontal="center"/>
    </xf>
    <xf numFmtId="41" fontId="25" fillId="0" borderId="4" xfId="0" applyNumberFormat="1" applyFont="1" applyFill="1" applyBorder="1" applyAlignment="1" applyProtection="1"/>
    <xf numFmtId="0" fontId="29" fillId="0" borderId="0" xfId="0" applyFont="1" applyBorder="1" applyAlignment="1" applyProtection="1">
      <alignment vertical="top"/>
    </xf>
    <xf numFmtId="0" fontId="12" fillId="0" borderId="0" xfId="0" applyFont="1" applyFill="1" applyBorder="1" applyAlignment="1" applyProtection="1">
      <alignment horizontal="center"/>
    </xf>
    <xf numFmtId="0" fontId="12" fillId="0" borderId="4" xfId="0" applyFont="1" applyFill="1" applyBorder="1" applyAlignment="1" applyProtection="1">
      <alignment horizontal="center"/>
    </xf>
    <xf numFmtId="49" fontId="1" fillId="0" borderId="0" xfId="0" applyNumberFormat="1" applyFont="1" applyBorder="1" applyAlignment="1" applyProtection="1">
      <alignment vertical="top" wrapText="1"/>
    </xf>
    <xf numFmtId="0" fontId="1" fillId="0" borderId="0" xfId="0" applyFont="1" applyBorder="1" applyAlignment="1" applyProtection="1">
      <alignment horizontal="justify" vertical="center" wrapText="1"/>
    </xf>
    <xf numFmtId="0" fontId="6" fillId="0" borderId="0" xfId="0" applyFont="1" applyProtection="1"/>
    <xf numFmtId="0" fontId="42" fillId="0" borderId="0" xfId="0" applyFont="1" applyProtection="1"/>
    <xf numFmtId="0" fontId="6" fillId="0" borderId="0" xfId="0" applyFont="1" applyFill="1" applyAlignment="1" applyProtection="1">
      <alignment horizontal="left" vertical="center"/>
    </xf>
    <xf numFmtId="0" fontId="6" fillId="0" borderId="0" xfId="0" applyFont="1" applyFill="1" applyAlignment="1" applyProtection="1">
      <alignment horizontal="left"/>
    </xf>
    <xf numFmtId="0" fontId="6" fillId="0" borderId="0" xfId="0" applyFont="1" applyFill="1" applyAlignment="1" applyProtection="1">
      <alignment vertical="center"/>
    </xf>
    <xf numFmtId="0" fontId="6" fillId="0" borderId="0" xfId="0" applyFont="1" applyFill="1" applyAlignment="1" applyProtection="1"/>
    <xf numFmtId="0" fontId="6" fillId="0" borderId="0" xfId="0" applyFont="1" applyFill="1" applyAlignment="1" applyProtection="1">
      <alignment horizontal="right"/>
    </xf>
    <xf numFmtId="0" fontId="6" fillId="0" borderId="0" xfId="0" applyFont="1" applyFill="1"/>
    <xf numFmtId="0" fontId="1" fillId="0" borderId="0" xfId="0" applyFont="1" applyBorder="1"/>
    <xf numFmtId="0" fontId="0" fillId="0" borderId="0" xfId="0" applyAlignment="1">
      <alignment horizontal="right" vertical="center"/>
    </xf>
    <xf numFmtId="0" fontId="43" fillId="0" borderId="0" xfId="0" applyFont="1" applyFill="1"/>
    <xf numFmtId="0" fontId="0" fillId="0" borderId="5"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4" xfId="0" applyBorder="1" applyAlignment="1" applyProtection="1">
      <alignment horizontal="left" vertical="top" wrapText="1"/>
    </xf>
    <xf numFmtId="0" fontId="6" fillId="0" borderId="0" xfId="0" applyFont="1" applyBorder="1" applyAlignment="1" applyProtection="1">
      <alignment horizontal="justify" vertical="top" wrapText="1"/>
    </xf>
    <xf numFmtId="0" fontId="31" fillId="0" borderId="0" xfId="0" applyFont="1" applyBorder="1" applyAlignment="1" applyProtection="1">
      <alignment horizontal="left" vertical="top" indent="1"/>
    </xf>
    <xf numFmtId="0" fontId="26" fillId="0" borderId="0" xfId="0" applyFont="1" applyFill="1" applyAlignment="1" applyProtection="1">
      <alignment horizontal="left" vertical="center"/>
    </xf>
    <xf numFmtId="0" fontId="29" fillId="0" borderId="0" xfId="0" applyFont="1" applyBorder="1" applyAlignment="1" applyProtection="1">
      <alignment horizontal="left" vertical="top"/>
    </xf>
    <xf numFmtId="0" fontId="29" fillId="0" borderId="0" xfId="0" applyFont="1" applyBorder="1" applyAlignment="1" applyProtection="1">
      <alignment horizontal="center" vertical="center"/>
    </xf>
    <xf numFmtId="0" fontId="0" fillId="0" borderId="13" xfId="0" applyBorder="1" applyAlignment="1" applyProtection="1">
      <alignment horizontal="center" vertical="center"/>
    </xf>
    <xf numFmtId="0" fontId="1" fillId="0" borderId="0" xfId="0" applyFont="1" applyBorder="1" applyAlignment="1" applyProtection="1">
      <alignment horizontal="left" vertical="top" wrapText="1"/>
    </xf>
    <xf numFmtId="0" fontId="0" fillId="0" borderId="0" xfId="0" applyAlignment="1" applyProtection="1">
      <alignment horizontal="right" vertical="center"/>
    </xf>
    <xf numFmtId="0" fontId="0" fillId="0" borderId="0" xfId="0" applyFill="1" applyProtection="1"/>
    <xf numFmtId="0" fontId="0" fillId="0" borderId="0" xfId="0" applyAlignment="1" applyProtection="1">
      <alignment vertical="center"/>
    </xf>
    <xf numFmtId="0" fontId="0" fillId="0" borderId="0" xfId="0" applyFill="1" applyAlignment="1" applyProtection="1">
      <alignment vertical="center"/>
    </xf>
    <xf numFmtId="0" fontId="0" fillId="0" borderId="0" xfId="0" applyAlignment="1" applyProtection="1"/>
    <xf numFmtId="0" fontId="9" fillId="0" borderId="0" xfId="0" applyFont="1" applyProtection="1"/>
    <xf numFmtId="0" fontId="0" fillId="0" borderId="0" xfId="0" applyFill="1" applyAlignment="1" applyProtection="1"/>
    <xf numFmtId="0" fontId="0" fillId="0" borderId="0" xfId="0" applyBorder="1" applyAlignment="1" applyProtection="1">
      <alignment horizontal="left" vertical="top"/>
    </xf>
    <xf numFmtId="0" fontId="6" fillId="0" borderId="0" xfId="0" applyFont="1" applyFill="1" applyProtection="1"/>
    <xf numFmtId="0" fontId="30" fillId="0" borderId="0" xfId="0" applyFont="1" applyFill="1" applyProtection="1"/>
    <xf numFmtId="0" fontId="43" fillId="0" borderId="0" xfId="0" applyFont="1" applyFill="1" applyProtection="1"/>
    <xf numFmtId="0" fontId="0" fillId="0" borderId="0" xfId="0" applyAlignment="1" applyProtection="1">
      <alignment horizontal="left" vertical="center"/>
    </xf>
    <xf numFmtId="0" fontId="0" fillId="0" borderId="0" xfId="0" applyAlignment="1" applyProtection="1">
      <alignment horizontal="center" vertical="center"/>
    </xf>
    <xf numFmtId="49" fontId="1" fillId="0" borderId="0" xfId="0" applyNumberFormat="1" applyFont="1" applyBorder="1" applyAlignment="1" applyProtection="1">
      <alignment horizontal="left" vertical="top" wrapText="1"/>
      <protection locked="0"/>
    </xf>
    <xf numFmtId="0" fontId="6" fillId="0" borderId="0" xfId="0" applyFont="1" applyBorder="1" applyProtection="1"/>
    <xf numFmtId="0" fontId="12" fillId="0" borderId="5" xfId="0" applyFont="1" applyFill="1" applyBorder="1" applyAlignment="1" applyProtection="1">
      <alignment horizontal="center"/>
    </xf>
    <xf numFmtId="0" fontId="0" fillId="0" borderId="0" xfId="0" applyFill="1" applyAlignment="1" applyProtection="1">
      <alignment horizontal="left" vertical="top"/>
    </xf>
    <xf numFmtId="0" fontId="1" fillId="0" borderId="2" xfId="0" applyFont="1" applyBorder="1" applyAlignment="1" applyProtection="1">
      <alignment horizontal="left" vertical="top" wrapText="1"/>
    </xf>
    <xf numFmtId="0" fontId="9" fillId="0" borderId="0" xfId="0" applyFont="1" applyFill="1" applyBorder="1" applyAlignment="1" applyProtection="1">
      <alignment horizontal="left"/>
    </xf>
    <xf numFmtId="0" fontId="13" fillId="5" borderId="5" xfId="0" applyFont="1" applyFill="1" applyBorder="1" applyAlignment="1" applyProtection="1">
      <alignment horizontal="left"/>
    </xf>
    <xf numFmtId="0" fontId="13" fillId="5" borderId="0" xfId="0" applyFont="1" applyFill="1" applyBorder="1" applyAlignment="1" applyProtection="1">
      <alignment horizontal="left"/>
    </xf>
    <xf numFmtId="0" fontId="13" fillId="5" borderId="2" xfId="0" applyFont="1" applyFill="1" applyBorder="1" applyAlignment="1" applyProtection="1">
      <alignment horizontal="left"/>
    </xf>
    <xf numFmtId="0" fontId="13" fillId="5" borderId="3" xfId="0" applyFont="1" applyFill="1" applyBorder="1" applyAlignment="1" applyProtection="1">
      <alignment horizontal="left"/>
    </xf>
    <xf numFmtId="0" fontId="0" fillId="0" borderId="0" xfId="0" applyBorder="1" applyAlignment="1" applyProtection="1">
      <alignment horizontal="justify" vertical="top" wrapText="1"/>
    </xf>
    <xf numFmtId="0" fontId="9" fillId="0" borderId="0" xfId="0" applyNumberFormat="1" applyFont="1" applyBorder="1" applyAlignment="1" applyProtection="1">
      <alignment horizontal="justify" vertical="top" wrapText="1"/>
    </xf>
    <xf numFmtId="0" fontId="1" fillId="0" borderId="5" xfId="0" applyFont="1" applyBorder="1" applyAlignment="1" applyProtection="1">
      <alignment horizontal="justify" vertical="top" wrapText="1"/>
    </xf>
    <xf numFmtId="0" fontId="1" fillId="0" borderId="0" xfId="0" applyFont="1" applyBorder="1" applyAlignment="1" applyProtection="1">
      <alignment horizontal="justify" vertical="top" wrapText="1"/>
    </xf>
    <xf numFmtId="0" fontId="1" fillId="0" borderId="4" xfId="0" applyFont="1" applyBorder="1" applyAlignment="1" applyProtection="1">
      <alignment horizontal="justify" vertical="top" wrapText="1"/>
    </xf>
    <xf numFmtId="0" fontId="2" fillId="12" borderId="1" xfId="0" applyFont="1" applyFill="1" applyBorder="1" applyAlignment="1" applyProtection="1">
      <alignment horizontal="left" vertical="center"/>
    </xf>
    <xf numFmtId="0" fontId="2" fillId="12" borderId="2" xfId="0" applyFont="1" applyFill="1" applyBorder="1" applyAlignment="1" applyProtection="1">
      <alignment horizontal="left" vertical="center"/>
    </xf>
    <xf numFmtId="0" fontId="2" fillId="12" borderId="3" xfId="0" applyFont="1" applyFill="1" applyBorder="1" applyAlignment="1" applyProtection="1">
      <alignment horizontal="left" vertical="center"/>
    </xf>
    <xf numFmtId="0" fontId="1" fillId="0" borderId="12" xfId="0" applyFont="1" applyBorder="1" applyAlignment="1" applyProtection="1">
      <alignment horizontal="left"/>
      <protection locked="0"/>
    </xf>
    <xf numFmtId="0" fontId="0" fillId="0" borderId="13" xfId="0" applyBorder="1" applyAlignment="1" applyProtection="1">
      <alignment horizontal="left"/>
      <protection locked="0"/>
    </xf>
    <xf numFmtId="0" fontId="0" fillId="0" borderId="14" xfId="0" applyBorder="1" applyAlignment="1" applyProtection="1">
      <alignment horizontal="left"/>
      <protection locked="0"/>
    </xf>
    <xf numFmtId="49" fontId="1" fillId="0" borderId="5" xfId="0" applyNumberFormat="1" applyFont="1" applyBorder="1" applyAlignment="1" applyProtection="1">
      <alignment horizontal="left"/>
      <protection locked="0"/>
    </xf>
    <xf numFmtId="49" fontId="0" fillId="0" borderId="0" xfId="0" applyNumberFormat="1" applyBorder="1" applyAlignment="1" applyProtection="1">
      <alignment horizontal="left"/>
      <protection locked="0"/>
    </xf>
    <xf numFmtId="0" fontId="2" fillId="12" borderId="5" xfId="0" applyFont="1" applyFill="1" applyBorder="1" applyAlignment="1" applyProtection="1">
      <alignment horizontal="left" vertical="top"/>
    </xf>
    <xf numFmtId="0" fontId="2" fillId="12" borderId="0" xfId="0" applyFont="1" applyFill="1" applyBorder="1" applyAlignment="1" applyProtection="1">
      <alignment horizontal="left" vertical="top"/>
    </xf>
    <xf numFmtId="0" fontId="2" fillId="12" borderId="4" xfId="0" applyFont="1" applyFill="1" applyBorder="1" applyAlignment="1" applyProtection="1">
      <alignment horizontal="left" vertical="top"/>
    </xf>
    <xf numFmtId="0" fontId="13" fillId="5" borderId="10" xfId="0" applyFont="1" applyFill="1" applyBorder="1" applyAlignment="1" applyProtection="1">
      <alignment horizontal="left"/>
    </xf>
    <xf numFmtId="0" fontId="13" fillId="5" borderId="8" xfId="0" applyFont="1" applyFill="1" applyBorder="1" applyAlignment="1" applyProtection="1">
      <alignment horizontal="left"/>
    </xf>
    <xf numFmtId="0" fontId="1" fillId="0" borderId="12" xfId="0" applyFont="1" applyFill="1" applyBorder="1" applyAlignment="1" applyProtection="1">
      <alignment horizontal="left"/>
      <protection locked="0"/>
    </xf>
    <xf numFmtId="0" fontId="9" fillId="0" borderId="13" xfId="0" applyFont="1" applyFill="1" applyBorder="1" applyAlignment="1" applyProtection="1">
      <alignment horizontal="left"/>
      <protection locked="0"/>
    </xf>
    <xf numFmtId="0" fontId="9" fillId="0" borderId="14" xfId="0" applyFont="1" applyFill="1" applyBorder="1" applyAlignment="1" applyProtection="1">
      <alignment horizontal="left"/>
      <protection locked="0"/>
    </xf>
    <xf numFmtId="0" fontId="7" fillId="0" borderId="12" xfId="1" applyNumberFormat="1" applyBorder="1" applyAlignment="1" applyProtection="1">
      <alignment horizontal="left"/>
      <protection locked="0"/>
    </xf>
    <xf numFmtId="0" fontId="0" fillId="0" borderId="13" xfId="0" applyNumberFormat="1" applyBorder="1" applyAlignment="1" applyProtection="1">
      <alignment horizontal="left"/>
      <protection locked="0"/>
    </xf>
    <xf numFmtId="0" fontId="0" fillId="0" borderId="14" xfId="0" applyNumberFormat="1" applyBorder="1" applyAlignment="1" applyProtection="1">
      <alignment horizontal="left"/>
      <protection locked="0"/>
    </xf>
    <xf numFmtId="0" fontId="0" fillId="11" borderId="1" xfId="0" applyFill="1" applyBorder="1" applyAlignment="1" applyProtection="1">
      <alignment horizontal="center"/>
    </xf>
    <xf numFmtId="0" fontId="0" fillId="11" borderId="2" xfId="0" applyFill="1" applyBorder="1" applyAlignment="1" applyProtection="1">
      <alignment horizontal="center"/>
    </xf>
    <xf numFmtId="0" fontId="0" fillId="11" borderId="5" xfId="0" applyFill="1" applyBorder="1" applyAlignment="1" applyProtection="1">
      <alignment horizontal="center"/>
    </xf>
    <xf numFmtId="0" fontId="0" fillId="11" borderId="0" xfId="0" applyFill="1" applyBorder="1" applyAlignment="1" applyProtection="1">
      <alignment horizontal="center"/>
    </xf>
    <xf numFmtId="0" fontId="0" fillId="11" borderId="12" xfId="0" applyFill="1" applyBorder="1" applyAlignment="1" applyProtection="1">
      <alignment horizontal="center"/>
    </xf>
    <xf numFmtId="0" fontId="0" fillId="11" borderId="13" xfId="0" applyFill="1" applyBorder="1" applyAlignment="1" applyProtection="1">
      <alignment horizontal="center"/>
    </xf>
    <xf numFmtId="0" fontId="7" fillId="0" borderId="13" xfId="1" applyNumberFormat="1" applyBorder="1" applyAlignment="1" applyProtection="1">
      <alignment horizontal="left"/>
      <protection locked="0"/>
    </xf>
    <xf numFmtId="49" fontId="0" fillId="0" borderId="4" xfId="0" applyNumberFormat="1" applyBorder="1" applyAlignment="1" applyProtection="1">
      <alignment horizontal="left"/>
      <protection locked="0"/>
    </xf>
    <xf numFmtId="0" fontId="1" fillId="0" borderId="10" xfId="0" applyFont="1" applyFill="1" applyBorder="1" applyAlignment="1" applyProtection="1">
      <alignment horizontal="left" vertical="center"/>
      <protection locked="0"/>
    </xf>
    <xf numFmtId="0" fontId="9" fillId="0" borderId="8" xfId="0" applyFont="1" applyFill="1" applyBorder="1" applyAlignment="1" applyProtection="1">
      <alignment horizontal="left" vertical="center"/>
      <protection locked="0"/>
    </xf>
    <xf numFmtId="0" fontId="9" fillId="0" borderId="9" xfId="0" applyFont="1" applyFill="1" applyBorder="1" applyAlignment="1" applyProtection="1">
      <alignment horizontal="left" vertical="center"/>
      <protection locked="0"/>
    </xf>
    <xf numFmtId="14" fontId="9" fillId="0" borderId="10" xfId="0" applyNumberFormat="1" applyFont="1" applyFill="1" applyBorder="1" applyAlignment="1" applyProtection="1">
      <alignment horizontal="left" vertical="center"/>
      <protection locked="0"/>
    </xf>
    <xf numFmtId="14" fontId="9" fillId="0" borderId="8" xfId="0" applyNumberFormat="1" applyFont="1" applyFill="1" applyBorder="1" applyAlignment="1" applyProtection="1">
      <alignment horizontal="left" vertical="center"/>
      <protection locked="0"/>
    </xf>
    <xf numFmtId="14" fontId="9" fillId="0" borderId="9" xfId="0" applyNumberFormat="1" applyFont="1" applyFill="1" applyBorder="1" applyAlignment="1" applyProtection="1">
      <alignment horizontal="left" vertical="center"/>
      <protection locked="0"/>
    </xf>
    <xf numFmtId="0" fontId="13" fillId="5" borderId="1" xfId="0" applyFont="1" applyFill="1" applyBorder="1" applyAlignment="1" applyProtection="1">
      <alignment horizontal="left"/>
    </xf>
    <xf numFmtId="0" fontId="1" fillId="0" borderId="5" xfId="0" applyFont="1" applyBorder="1" applyAlignment="1" applyProtection="1">
      <alignment horizontal="justify" vertical="center" wrapText="1"/>
    </xf>
    <xf numFmtId="0" fontId="0" fillId="0" borderId="0" xfId="0" applyBorder="1" applyAlignment="1" applyProtection="1">
      <alignment horizontal="justify" vertical="center" wrapText="1"/>
    </xf>
    <xf numFmtId="0" fontId="0" fillId="0" borderId="4" xfId="0" applyBorder="1" applyAlignment="1" applyProtection="1">
      <alignment horizontal="justify" vertical="center" wrapText="1"/>
    </xf>
    <xf numFmtId="0" fontId="0" fillId="0" borderId="5" xfId="0" applyBorder="1" applyAlignment="1" applyProtection="1">
      <alignment horizontal="justify" vertical="center" wrapText="1"/>
    </xf>
    <xf numFmtId="0" fontId="0" fillId="0" borderId="5"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4" xfId="0" applyBorder="1" applyAlignment="1" applyProtection="1">
      <alignment horizontal="left" vertical="top" wrapText="1"/>
    </xf>
    <xf numFmtId="0" fontId="6" fillId="0" borderId="5" xfId="0" applyFont="1" applyBorder="1" applyAlignment="1" applyProtection="1">
      <alignment horizontal="justify" vertical="top" wrapText="1"/>
    </xf>
    <xf numFmtId="0" fontId="6" fillId="0" borderId="0" xfId="0" applyFont="1" applyBorder="1" applyAlignment="1" applyProtection="1">
      <alignment horizontal="justify" vertical="top" wrapText="1"/>
    </xf>
    <xf numFmtId="0" fontId="6" fillId="0" borderId="4" xfId="0" applyFont="1" applyBorder="1" applyAlignment="1" applyProtection="1">
      <alignment horizontal="justify" vertical="top" wrapText="1"/>
    </xf>
    <xf numFmtId="0" fontId="14" fillId="12" borderId="10" xfId="0" applyFont="1" applyFill="1" applyBorder="1" applyAlignment="1" applyProtection="1">
      <alignment horizontal="left" vertical="center"/>
    </xf>
    <xf numFmtId="0" fontId="14" fillId="12" borderId="8" xfId="0" applyFont="1" applyFill="1" applyBorder="1" applyAlignment="1" applyProtection="1">
      <alignment horizontal="left" vertical="center"/>
    </xf>
    <xf numFmtId="0" fontId="14" fillId="12" borderId="9" xfId="0" applyFont="1" applyFill="1" applyBorder="1" applyAlignment="1" applyProtection="1">
      <alignment horizontal="left" vertical="center"/>
    </xf>
    <xf numFmtId="0" fontId="8" fillId="0" borderId="0" xfId="0" applyFont="1" applyBorder="1" applyAlignment="1" applyProtection="1">
      <alignment horizontal="justify" vertical="top" wrapText="1"/>
    </xf>
    <xf numFmtId="0" fontId="8" fillId="0" borderId="4" xfId="0" applyFont="1" applyBorder="1" applyAlignment="1" applyProtection="1">
      <alignment horizontal="justify" vertical="top" wrapText="1"/>
    </xf>
    <xf numFmtId="0" fontId="8" fillId="0" borderId="5" xfId="0" applyFont="1" applyBorder="1" applyAlignment="1" applyProtection="1">
      <alignment horizontal="justify" vertical="top" wrapText="1"/>
    </xf>
    <xf numFmtId="41" fontId="0" fillId="0" borderId="10" xfId="0" applyNumberFormat="1" applyFill="1" applyBorder="1" applyAlignment="1" applyProtection="1">
      <alignment horizontal="center"/>
      <protection locked="0"/>
    </xf>
    <xf numFmtId="41" fontId="0" fillId="0" borderId="9" xfId="0" applyNumberFormat="1" applyFill="1" applyBorder="1" applyAlignment="1" applyProtection="1">
      <alignment horizontal="center"/>
      <protection locked="0"/>
    </xf>
    <xf numFmtId="41" fontId="0" fillId="9" borderId="10" xfId="0" applyNumberFormat="1" applyFill="1" applyBorder="1" applyAlignment="1" applyProtection="1">
      <alignment horizontal="center"/>
      <protection locked="0"/>
    </xf>
    <xf numFmtId="41" fontId="0" fillId="9" borderId="9" xfId="0" applyNumberFormat="1" applyFill="1" applyBorder="1" applyAlignment="1" applyProtection="1">
      <alignment horizontal="center"/>
      <protection locked="0"/>
    </xf>
    <xf numFmtId="41" fontId="6" fillId="10" borderId="10" xfId="0" applyNumberFormat="1" applyFont="1" applyFill="1" applyBorder="1" applyAlignment="1" applyProtection="1">
      <alignment horizontal="center"/>
    </xf>
    <xf numFmtId="41" fontId="6" fillId="10" borderId="9" xfId="0" applyNumberFormat="1" applyFont="1" applyFill="1" applyBorder="1" applyAlignment="1" applyProtection="1">
      <alignment horizontal="center"/>
    </xf>
    <xf numFmtId="0" fontId="26" fillId="0" borderId="0" xfId="0" applyFont="1" applyFill="1" applyAlignment="1" applyProtection="1">
      <alignment horizontal="right"/>
    </xf>
    <xf numFmtId="0" fontId="26" fillId="0" borderId="0" xfId="0" applyFont="1" applyFill="1" applyAlignment="1" applyProtection="1">
      <alignment horizontal="left" vertical="center"/>
    </xf>
    <xf numFmtId="0" fontId="25" fillId="0" borderId="6" xfId="0" applyFont="1" applyBorder="1" applyAlignment="1" applyProtection="1">
      <alignment horizontal="left" indent="2"/>
    </xf>
    <xf numFmtId="0" fontId="25" fillId="9" borderId="6" xfId="0" applyFont="1" applyFill="1" applyBorder="1" applyAlignment="1" applyProtection="1">
      <alignment horizontal="left" indent="2"/>
    </xf>
    <xf numFmtId="0" fontId="20" fillId="10" borderId="6" xfId="0" applyFont="1" applyFill="1" applyBorder="1" applyAlignment="1" applyProtection="1">
      <alignment horizontal="right" indent="2"/>
    </xf>
    <xf numFmtId="0" fontId="19" fillId="0" borderId="0" xfId="0" applyFont="1" applyFill="1" applyAlignment="1" applyProtection="1">
      <alignment horizontal="left" vertical="center"/>
    </xf>
    <xf numFmtId="0" fontId="1" fillId="0" borderId="1"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41" fontId="0" fillId="0" borderId="10" xfId="0" applyNumberFormat="1" applyBorder="1" applyAlignment="1" applyProtection="1">
      <alignment horizontal="center" vertical="center"/>
      <protection locked="0"/>
    </xf>
    <xf numFmtId="41" fontId="0" fillId="0" borderId="9" xfId="0" applyNumberFormat="1" applyBorder="1" applyAlignment="1" applyProtection="1">
      <alignment horizontal="center" vertical="center"/>
      <protection locked="0"/>
    </xf>
    <xf numFmtId="41" fontId="1" fillId="9" borderId="10" xfId="0" applyNumberFormat="1" applyFont="1" applyFill="1" applyBorder="1" applyAlignment="1" applyProtection="1">
      <alignment horizontal="center"/>
      <protection locked="0"/>
    </xf>
    <xf numFmtId="0" fontId="25" fillId="0" borderId="6" xfId="0" applyFont="1" applyFill="1" applyBorder="1" applyAlignment="1" applyProtection="1">
      <alignment horizontal="left" indent="2"/>
    </xf>
    <xf numFmtId="0" fontId="31" fillId="0" borderId="0" xfId="0" applyFont="1" applyBorder="1" applyAlignment="1" applyProtection="1">
      <alignment horizontal="left" vertical="top" indent="1"/>
    </xf>
    <xf numFmtId="0" fontId="25" fillId="9" borderId="8" xfId="0" applyFont="1" applyFill="1" applyBorder="1" applyAlignment="1" applyProtection="1">
      <alignment horizontal="left" indent="2"/>
    </xf>
    <xf numFmtId="0" fontId="25" fillId="9" borderId="9" xfId="0" applyFont="1" applyFill="1" applyBorder="1" applyAlignment="1" applyProtection="1">
      <alignment horizontal="left" indent="2"/>
    </xf>
    <xf numFmtId="0" fontId="27" fillId="7" borderId="8" xfId="0" applyFont="1" applyFill="1" applyBorder="1" applyAlignment="1" applyProtection="1">
      <alignment horizontal="center" vertical="center"/>
    </xf>
    <xf numFmtId="0" fontId="27" fillId="7" borderId="9" xfId="0" applyFont="1" applyFill="1" applyBorder="1" applyAlignment="1" applyProtection="1">
      <alignment horizontal="center" vertical="center"/>
    </xf>
    <xf numFmtId="0" fontId="5" fillId="7" borderId="10" xfId="0" applyFont="1" applyFill="1" applyBorder="1" applyAlignment="1" applyProtection="1">
      <alignment horizontal="right" vertical="center"/>
    </xf>
    <xf numFmtId="0" fontId="5" fillId="7" borderId="8" xfId="0" applyFont="1" applyFill="1" applyBorder="1" applyAlignment="1" applyProtection="1">
      <alignment horizontal="right" vertical="center"/>
    </xf>
    <xf numFmtId="0" fontId="28" fillId="0" borderId="0" xfId="0" applyFont="1" applyFill="1" applyBorder="1" applyAlignment="1" applyProtection="1">
      <alignment horizontal="center" vertical="top" wrapText="1"/>
    </xf>
    <xf numFmtId="0" fontId="34" fillId="13" borderId="1" xfId="0" applyFont="1" applyFill="1" applyBorder="1" applyAlignment="1" applyProtection="1">
      <alignment horizontal="center" vertical="center" wrapText="1"/>
    </xf>
    <xf numFmtId="0" fontId="34" fillId="13" borderId="2" xfId="0" applyFont="1" applyFill="1" applyBorder="1" applyAlignment="1" applyProtection="1">
      <alignment horizontal="center" vertical="center" wrapText="1"/>
    </xf>
    <xf numFmtId="0" fontId="34" fillId="13" borderId="3" xfId="0" applyFont="1" applyFill="1" applyBorder="1" applyAlignment="1" applyProtection="1">
      <alignment horizontal="center" vertical="center" wrapText="1"/>
    </xf>
    <xf numFmtId="0" fontId="29" fillId="0" borderId="0" xfId="0" applyFont="1" applyBorder="1" applyAlignment="1" applyProtection="1">
      <alignment horizontal="left" vertical="top" indent="1"/>
    </xf>
    <xf numFmtId="0" fontId="33" fillId="13" borderId="5" xfId="0" applyFont="1" applyFill="1" applyBorder="1" applyAlignment="1" applyProtection="1">
      <alignment horizontal="center" vertical="center" wrapText="1"/>
    </xf>
    <xf numFmtId="0" fontId="33" fillId="13" borderId="0" xfId="0" applyFont="1" applyFill="1" applyBorder="1" applyAlignment="1" applyProtection="1">
      <alignment horizontal="center" vertical="center" wrapText="1"/>
    </xf>
    <xf numFmtId="0" fontId="33" fillId="13" borderId="4" xfId="0" applyFont="1" applyFill="1" applyBorder="1" applyAlignment="1" applyProtection="1">
      <alignment horizontal="center" vertical="center" wrapText="1"/>
    </xf>
    <xf numFmtId="0" fontId="24" fillId="10" borderId="10" xfId="0" applyFont="1" applyFill="1" applyBorder="1" applyAlignment="1" applyProtection="1">
      <alignment horizontal="right" vertical="center" indent="2"/>
    </xf>
    <xf numFmtId="0" fontId="24" fillId="10" borderId="8" xfId="0" applyFont="1" applyFill="1" applyBorder="1" applyAlignment="1" applyProtection="1">
      <alignment horizontal="right" vertical="center" indent="2"/>
    </xf>
    <xf numFmtId="0" fontId="9" fillId="0" borderId="10" xfId="0" applyFont="1" applyBorder="1" applyAlignment="1" applyProtection="1">
      <alignment horizontal="left" vertical="center" indent="2"/>
    </xf>
    <xf numFmtId="0" fontId="9" fillId="0" borderId="8" xfId="0" applyFont="1" applyBorder="1" applyAlignment="1" applyProtection="1">
      <alignment horizontal="left" vertical="center" indent="2"/>
    </xf>
    <xf numFmtId="0" fontId="9" fillId="9" borderId="10" xfId="0" applyFont="1" applyFill="1" applyBorder="1" applyAlignment="1" applyProtection="1">
      <alignment horizontal="left" vertical="center" indent="2"/>
    </xf>
    <xf numFmtId="0" fontId="9" fillId="9" borderId="8" xfId="0" applyFont="1" applyFill="1" applyBorder="1" applyAlignment="1" applyProtection="1">
      <alignment horizontal="left" vertical="center" indent="2"/>
    </xf>
    <xf numFmtId="0" fontId="9" fillId="0" borderId="10" xfId="0" applyFont="1" applyFill="1" applyBorder="1" applyAlignment="1" applyProtection="1">
      <alignment horizontal="left" vertical="center" indent="2"/>
    </xf>
    <xf numFmtId="0" fontId="9" fillId="0" borderId="8" xfId="0" applyFont="1" applyFill="1" applyBorder="1" applyAlignment="1" applyProtection="1">
      <alignment horizontal="left" vertical="center" indent="2"/>
    </xf>
    <xf numFmtId="41" fontId="9" fillId="0" borderId="10" xfId="0" applyNumberFormat="1" applyFont="1" applyBorder="1" applyAlignment="1" applyProtection="1">
      <alignment horizontal="center" vertical="center"/>
      <protection locked="0"/>
    </xf>
    <xf numFmtId="41" fontId="9" fillId="0" borderId="9" xfId="0" applyNumberFormat="1" applyFont="1" applyBorder="1" applyAlignment="1" applyProtection="1">
      <alignment horizontal="center" vertical="center"/>
      <protection locked="0"/>
    </xf>
    <xf numFmtId="41" fontId="24" fillId="10" borderId="10" xfId="0" applyNumberFormat="1" applyFont="1" applyFill="1" applyBorder="1" applyAlignment="1" applyProtection="1">
      <alignment horizontal="center" vertical="center"/>
    </xf>
    <xf numFmtId="41" fontId="24" fillId="10" borderId="9" xfId="0" applyNumberFormat="1" applyFont="1" applyFill="1" applyBorder="1" applyAlignment="1" applyProtection="1">
      <alignment horizontal="center" vertical="center"/>
    </xf>
    <xf numFmtId="0" fontId="9" fillId="9" borderId="6" xfId="0" applyFont="1" applyFill="1" applyBorder="1" applyAlignment="1" applyProtection="1">
      <alignment horizontal="left" vertical="center" indent="2"/>
    </xf>
    <xf numFmtId="0" fontId="24" fillId="10" borderId="6" xfId="0" applyFont="1" applyFill="1" applyBorder="1" applyAlignment="1" applyProtection="1">
      <alignment horizontal="right" vertical="center" indent="2"/>
    </xf>
    <xf numFmtId="0" fontId="31" fillId="0" borderId="0" xfId="0" applyFont="1" applyFill="1" applyBorder="1" applyAlignment="1" applyProtection="1">
      <alignment horizontal="left" vertical="top"/>
    </xf>
    <xf numFmtId="0" fontId="13" fillId="13" borderId="5" xfId="0" applyFont="1" applyFill="1" applyBorder="1" applyAlignment="1" applyProtection="1">
      <alignment horizontal="center" vertical="top" wrapText="1"/>
    </xf>
    <xf numFmtId="0" fontId="12" fillId="13" borderId="0" xfId="0" applyFont="1" applyFill="1" applyBorder="1" applyAlignment="1" applyProtection="1">
      <alignment horizontal="center" vertical="top" wrapText="1"/>
    </xf>
    <xf numFmtId="0" fontId="12" fillId="13" borderId="4" xfId="0" applyFont="1" applyFill="1" applyBorder="1" applyAlignment="1" applyProtection="1">
      <alignment horizontal="center" vertical="top" wrapText="1"/>
    </xf>
    <xf numFmtId="0" fontId="34" fillId="13" borderId="1" xfId="0" applyFont="1" applyFill="1" applyBorder="1" applyAlignment="1" applyProtection="1">
      <alignment horizontal="center" vertical="center"/>
    </xf>
    <xf numFmtId="0" fontId="34" fillId="13" borderId="2" xfId="0" applyFont="1" applyFill="1" applyBorder="1" applyAlignment="1" applyProtection="1">
      <alignment horizontal="center" vertical="center"/>
    </xf>
    <xf numFmtId="0" fontId="34" fillId="13" borderId="3" xfId="0" applyFont="1" applyFill="1" applyBorder="1" applyAlignment="1" applyProtection="1">
      <alignment horizontal="center" vertical="center"/>
    </xf>
    <xf numFmtId="0" fontId="27" fillId="7" borderId="8" xfId="0" applyFont="1" applyFill="1" applyBorder="1" applyAlignment="1" applyProtection="1">
      <alignment horizontal="center"/>
    </xf>
    <xf numFmtId="0" fontId="27" fillId="7" borderId="9" xfId="0" applyFont="1" applyFill="1" applyBorder="1" applyAlignment="1" applyProtection="1">
      <alignment horizontal="center"/>
    </xf>
    <xf numFmtId="0" fontId="5" fillId="7" borderId="10" xfId="0" applyFont="1" applyFill="1" applyBorder="1" applyAlignment="1" applyProtection="1">
      <alignment horizontal="right"/>
    </xf>
    <xf numFmtId="0" fontId="5" fillId="7" borderId="8" xfId="0" applyFont="1" applyFill="1" applyBorder="1" applyAlignment="1" applyProtection="1">
      <alignment horizontal="right"/>
    </xf>
    <xf numFmtId="0" fontId="29" fillId="0" borderId="0" xfId="0" applyFont="1" applyFill="1" applyBorder="1" applyAlignment="1" applyProtection="1">
      <alignment horizontal="left" vertical="top"/>
    </xf>
    <xf numFmtId="0" fontId="23" fillId="0" borderId="10" xfId="0" applyFont="1" applyBorder="1" applyAlignment="1" applyProtection="1">
      <alignment horizontal="left" vertical="top" indent="2"/>
    </xf>
    <xf numFmtId="0" fontId="23" fillId="0" borderId="8" xfId="0" applyFont="1" applyBorder="1" applyAlignment="1" applyProtection="1">
      <alignment horizontal="left" vertical="top" indent="2"/>
    </xf>
    <xf numFmtId="0" fontId="23" fillId="0" borderId="9" xfId="0" applyFont="1" applyBorder="1" applyAlignment="1" applyProtection="1">
      <alignment horizontal="left" vertical="top" indent="2"/>
    </xf>
    <xf numFmtId="0" fontId="24" fillId="10" borderId="10" xfId="0" applyFont="1" applyFill="1" applyBorder="1" applyAlignment="1" applyProtection="1">
      <alignment horizontal="right" vertical="top" indent="2"/>
    </xf>
    <xf numFmtId="0" fontId="24" fillId="10" borderId="8" xfId="0" applyFont="1" applyFill="1" applyBorder="1" applyAlignment="1" applyProtection="1">
      <alignment horizontal="right" vertical="top" indent="2"/>
    </xf>
    <xf numFmtId="0" fontId="24" fillId="10" borderId="9" xfId="0" applyFont="1" applyFill="1" applyBorder="1" applyAlignment="1" applyProtection="1">
      <alignment horizontal="right" vertical="top" indent="2"/>
    </xf>
    <xf numFmtId="41" fontId="23" fillId="9" borderId="10" xfId="0" applyNumberFormat="1" applyFont="1" applyFill="1" applyBorder="1" applyAlignment="1" applyProtection="1">
      <alignment horizontal="center" vertical="top"/>
      <protection locked="0"/>
    </xf>
    <xf numFmtId="41" fontId="23" fillId="9" borderId="9" xfId="0" applyNumberFormat="1" applyFont="1" applyFill="1" applyBorder="1" applyAlignment="1" applyProtection="1">
      <alignment horizontal="center" vertical="top"/>
      <protection locked="0"/>
    </xf>
    <xf numFmtId="41" fontId="23" fillId="0" borderId="10" xfId="0" applyNumberFormat="1" applyFont="1" applyBorder="1" applyAlignment="1" applyProtection="1">
      <alignment horizontal="center" vertical="top"/>
      <protection locked="0"/>
    </xf>
    <xf numFmtId="41" fontId="23" fillId="0" borderId="9" xfId="0" applyNumberFormat="1" applyFont="1" applyBorder="1" applyAlignment="1" applyProtection="1">
      <alignment horizontal="center" vertical="top"/>
      <protection locked="0"/>
    </xf>
    <xf numFmtId="0" fontId="23" fillId="9" borderId="10" xfId="0" applyFont="1" applyFill="1" applyBorder="1" applyAlignment="1" applyProtection="1">
      <alignment horizontal="left" vertical="top" indent="2"/>
    </xf>
    <xf numFmtId="0" fontId="23" fillId="9" borderId="8" xfId="0" applyFont="1" applyFill="1" applyBorder="1" applyAlignment="1" applyProtection="1">
      <alignment horizontal="left" vertical="top" indent="2"/>
    </xf>
    <xf numFmtId="0" fontId="23" fillId="9" borderId="9" xfId="0" applyFont="1" applyFill="1" applyBorder="1" applyAlignment="1" applyProtection="1">
      <alignment horizontal="left" vertical="top" indent="2"/>
    </xf>
    <xf numFmtId="0" fontId="31" fillId="0" borderId="0" xfId="0" applyFont="1" applyBorder="1" applyAlignment="1" applyProtection="1">
      <alignment horizontal="left" vertical="top"/>
    </xf>
    <xf numFmtId="0" fontId="37" fillId="0" borderId="0" xfId="0" applyFont="1" applyBorder="1" applyAlignment="1" applyProtection="1">
      <alignment horizontal="left" vertical="top"/>
    </xf>
    <xf numFmtId="0" fontId="9" fillId="0" borderId="9" xfId="0" applyFont="1" applyBorder="1" applyAlignment="1" applyProtection="1">
      <alignment horizontal="left" vertical="center" indent="2"/>
    </xf>
    <xf numFmtId="41" fontId="0" fillId="9" borderId="10" xfId="0" applyNumberFormat="1" applyFill="1" applyBorder="1" applyAlignment="1" applyProtection="1">
      <alignment horizontal="center" vertical="center"/>
      <protection locked="0"/>
    </xf>
    <xf numFmtId="41" fontId="0" fillId="9" borderId="9" xfId="0" applyNumberFormat="1" applyFill="1" applyBorder="1" applyAlignment="1" applyProtection="1">
      <alignment horizontal="center" vertical="center"/>
      <protection locked="0"/>
    </xf>
    <xf numFmtId="0" fontId="31" fillId="0" borderId="0" xfId="0" applyFont="1" applyBorder="1" applyAlignment="1" applyProtection="1">
      <alignment horizontal="left" vertical="center"/>
    </xf>
    <xf numFmtId="0" fontId="1" fillId="9" borderId="10" xfId="0" applyFont="1" applyFill="1" applyBorder="1" applyAlignment="1" applyProtection="1">
      <alignment horizontal="left" vertical="center" indent="2"/>
    </xf>
    <xf numFmtId="0" fontId="1" fillId="9" borderId="8" xfId="0" applyFont="1" applyFill="1" applyBorder="1" applyAlignment="1" applyProtection="1">
      <alignment horizontal="left" vertical="center" indent="2"/>
    </xf>
    <xf numFmtId="0" fontId="1" fillId="0" borderId="10" xfId="0" applyFont="1" applyBorder="1" applyAlignment="1" applyProtection="1">
      <alignment horizontal="left" vertical="center" indent="2"/>
    </xf>
    <xf numFmtId="0" fontId="1" fillId="0" borderId="8" xfId="0" applyFont="1" applyBorder="1" applyAlignment="1" applyProtection="1">
      <alignment horizontal="left" vertical="center" indent="2"/>
    </xf>
    <xf numFmtId="0" fontId="1" fillId="9" borderId="10" xfId="0" applyFont="1" applyFill="1" applyBorder="1" applyAlignment="1" applyProtection="1">
      <alignment horizontal="left" indent="2"/>
    </xf>
    <xf numFmtId="0" fontId="1" fillId="9" borderId="8" xfId="0" applyFont="1" applyFill="1" applyBorder="1" applyAlignment="1" applyProtection="1">
      <alignment horizontal="left" indent="2"/>
    </xf>
    <xf numFmtId="41" fontId="1" fillId="9" borderId="9" xfId="0" applyNumberFormat="1" applyFont="1" applyFill="1" applyBorder="1" applyAlignment="1" applyProtection="1">
      <alignment horizontal="center"/>
      <protection locked="0"/>
    </xf>
    <xf numFmtId="0" fontId="1" fillId="0" borderId="10" xfId="0" applyFont="1" applyBorder="1" applyAlignment="1" applyProtection="1">
      <alignment horizontal="left" indent="2"/>
    </xf>
    <xf numFmtId="0" fontId="1" fillId="0" borderId="8" xfId="0" applyFont="1" applyBorder="1" applyAlignment="1" applyProtection="1">
      <alignment horizontal="left" indent="2"/>
    </xf>
    <xf numFmtId="41" fontId="1" fillId="0" borderId="10" xfId="0" applyNumberFormat="1" applyFont="1" applyFill="1" applyBorder="1" applyAlignment="1" applyProtection="1">
      <alignment horizontal="center"/>
      <protection locked="0"/>
    </xf>
    <xf numFmtId="41" fontId="1" fillId="0" borderId="9" xfId="0" applyNumberFormat="1" applyFont="1" applyFill="1" applyBorder="1" applyAlignment="1" applyProtection="1">
      <alignment horizontal="center"/>
      <protection locked="0"/>
    </xf>
    <xf numFmtId="0" fontId="31" fillId="0" borderId="0" xfId="0" applyFont="1" applyBorder="1" applyAlignment="1" applyProtection="1">
      <alignment horizontal="left"/>
    </xf>
    <xf numFmtId="0" fontId="1" fillId="9" borderId="6" xfId="0" applyFont="1" applyFill="1" applyBorder="1" applyAlignment="1" applyProtection="1">
      <alignment horizontal="left" indent="2"/>
    </xf>
    <xf numFmtId="41" fontId="0" fillId="9" borderId="6" xfId="0" applyNumberFormat="1" applyFill="1" applyBorder="1" applyAlignment="1" applyProtection="1">
      <alignment horizontal="center"/>
      <protection locked="0"/>
    </xf>
    <xf numFmtId="0" fontId="32" fillId="10" borderId="10" xfId="0" applyFont="1" applyFill="1" applyBorder="1" applyAlignment="1" applyProtection="1">
      <alignment horizontal="right" indent="2"/>
    </xf>
    <xf numFmtId="0" fontId="32" fillId="10" borderId="8" xfId="0" applyFont="1" applyFill="1" applyBorder="1" applyAlignment="1" applyProtection="1">
      <alignment horizontal="right" indent="2"/>
    </xf>
    <xf numFmtId="0" fontId="32" fillId="10" borderId="9" xfId="0" applyFont="1" applyFill="1" applyBorder="1" applyAlignment="1" applyProtection="1">
      <alignment horizontal="right" indent="2"/>
    </xf>
    <xf numFmtId="0" fontId="5" fillId="7" borderId="10" xfId="0" applyFont="1" applyFill="1" applyBorder="1" applyAlignment="1" applyProtection="1">
      <alignment horizontal="center" vertical="center"/>
    </xf>
    <xf numFmtId="0" fontId="5" fillId="7" borderId="8" xfId="0" applyFont="1" applyFill="1" applyBorder="1" applyAlignment="1" applyProtection="1">
      <alignment horizontal="center" vertical="center"/>
    </xf>
    <xf numFmtId="41" fontId="4" fillId="10" borderId="6" xfId="0" applyNumberFormat="1" applyFont="1" applyFill="1" applyBorder="1" applyAlignment="1" applyProtection="1">
      <alignment horizontal="center" vertical="center"/>
    </xf>
    <xf numFmtId="0" fontId="31" fillId="0" borderId="0" xfId="0" applyFont="1" applyBorder="1" applyAlignment="1" applyProtection="1">
      <alignment horizontal="left" indent="1"/>
    </xf>
    <xf numFmtId="0" fontId="31" fillId="0" borderId="4" xfId="0" applyFont="1" applyBorder="1" applyAlignment="1" applyProtection="1">
      <alignment horizontal="left" indent="1"/>
    </xf>
    <xf numFmtId="41" fontId="0" fillId="0" borderId="6" xfId="0" applyNumberFormat="1" applyFill="1" applyBorder="1" applyAlignment="1" applyProtection="1">
      <alignment horizontal="center"/>
      <protection locked="0"/>
    </xf>
    <xf numFmtId="49" fontId="25" fillId="9" borderId="6" xfId="0" applyNumberFormat="1" applyFont="1" applyFill="1" applyBorder="1" applyAlignment="1" applyProtection="1">
      <alignment horizontal="left" vertical="top" indent="2"/>
    </xf>
    <xf numFmtId="49" fontId="25" fillId="0" borderId="6" xfId="0" applyNumberFormat="1" applyFont="1" applyBorder="1" applyAlignment="1" applyProtection="1">
      <alignment horizontal="left" vertical="top" indent="2"/>
    </xf>
    <xf numFmtId="0" fontId="34" fillId="13" borderId="5" xfId="0" applyFont="1" applyFill="1" applyBorder="1" applyAlignment="1" applyProtection="1">
      <alignment horizontal="center" vertical="center"/>
    </xf>
    <xf numFmtId="0" fontId="34" fillId="13" borderId="0" xfId="0" applyFont="1" applyFill="1" applyBorder="1" applyAlignment="1" applyProtection="1">
      <alignment horizontal="center" vertical="center"/>
    </xf>
    <xf numFmtId="0" fontId="34" fillId="13" borderId="4" xfId="0" applyFont="1" applyFill="1" applyBorder="1" applyAlignment="1" applyProtection="1">
      <alignment horizontal="center" vertical="center"/>
    </xf>
    <xf numFmtId="0" fontId="7" fillId="13" borderId="12" xfId="1" applyFill="1" applyBorder="1" applyAlignment="1" applyProtection="1">
      <alignment horizontal="center" vertical="center"/>
      <protection locked="0"/>
    </xf>
    <xf numFmtId="0" fontId="38" fillId="13" borderId="13" xfId="0" applyFont="1" applyFill="1" applyBorder="1" applyAlignment="1" applyProtection="1">
      <alignment horizontal="center" vertical="center"/>
      <protection locked="0"/>
    </xf>
    <xf numFmtId="0" fontId="38" fillId="13" borderId="14" xfId="0" applyFont="1" applyFill="1" applyBorder="1" applyAlignment="1" applyProtection="1">
      <alignment horizontal="center" vertical="center"/>
      <protection locked="0"/>
    </xf>
    <xf numFmtId="0" fontId="29" fillId="0" borderId="0" xfId="0" applyFont="1" applyBorder="1" applyAlignment="1" applyProtection="1">
      <alignment horizontal="left" vertical="top"/>
    </xf>
    <xf numFmtId="0" fontId="29" fillId="0" borderId="0" xfId="0" applyFont="1" applyBorder="1" applyAlignment="1" applyProtection="1">
      <alignment horizontal="center" vertical="center"/>
    </xf>
    <xf numFmtId="41" fontId="6" fillId="10" borderId="6" xfId="0" applyNumberFormat="1" applyFont="1" applyFill="1" applyBorder="1" applyAlignment="1" applyProtection="1">
      <alignment horizontal="center"/>
    </xf>
    <xf numFmtId="41" fontId="0" fillId="0" borderId="6" xfId="0" applyNumberFormat="1" applyBorder="1" applyAlignment="1" applyProtection="1">
      <alignment horizontal="center"/>
      <protection locked="0"/>
    </xf>
    <xf numFmtId="0" fontId="35" fillId="0" borderId="1" xfId="0" applyFont="1" applyFill="1" applyBorder="1" applyAlignment="1" applyProtection="1">
      <alignment horizontal="left" vertical="top" wrapText="1"/>
      <protection locked="0"/>
    </xf>
    <xf numFmtId="0" fontId="13" fillId="0" borderId="2" xfId="0" applyFont="1" applyFill="1" applyBorder="1" applyAlignment="1" applyProtection="1">
      <alignment horizontal="left" vertical="top"/>
      <protection locked="0"/>
    </xf>
    <xf numFmtId="0" fontId="13" fillId="0" borderId="3" xfId="0" applyFont="1" applyFill="1" applyBorder="1" applyAlignment="1" applyProtection="1">
      <alignment horizontal="left" vertical="top"/>
      <protection locked="0"/>
    </xf>
    <xf numFmtId="0" fontId="13" fillId="0" borderId="5" xfId="0" applyFont="1" applyFill="1" applyBorder="1" applyAlignment="1" applyProtection="1">
      <alignment horizontal="left" vertical="top"/>
      <protection locked="0"/>
    </xf>
    <xf numFmtId="0" fontId="13" fillId="0" borderId="0" xfId="0" applyFont="1" applyFill="1" applyBorder="1" applyAlignment="1" applyProtection="1">
      <alignment horizontal="left" vertical="top"/>
      <protection locked="0"/>
    </xf>
    <xf numFmtId="0" fontId="13" fillId="0" borderId="4" xfId="0" applyFont="1" applyFill="1" applyBorder="1" applyAlignment="1" applyProtection="1">
      <alignment horizontal="left" vertical="top"/>
      <protection locked="0"/>
    </xf>
    <xf numFmtId="0" fontId="13" fillId="0" borderId="12" xfId="0" applyFont="1" applyFill="1" applyBorder="1" applyAlignment="1" applyProtection="1">
      <alignment horizontal="left" vertical="top"/>
      <protection locked="0"/>
    </xf>
    <xf numFmtId="0" fontId="13" fillId="0" borderId="13" xfId="0" applyFont="1" applyFill="1" applyBorder="1" applyAlignment="1" applyProtection="1">
      <alignment horizontal="left" vertical="top"/>
      <protection locked="0"/>
    </xf>
    <xf numFmtId="0" fontId="13" fillId="0" borderId="14" xfId="0" applyFont="1" applyFill="1" applyBorder="1" applyAlignment="1" applyProtection="1">
      <alignment horizontal="left" vertical="top"/>
      <protection locked="0"/>
    </xf>
    <xf numFmtId="0" fontId="12" fillId="5" borderId="1" xfId="0" applyFont="1" applyFill="1" applyBorder="1" applyAlignment="1" applyProtection="1">
      <alignment horizontal="center"/>
    </xf>
    <xf numFmtId="0" fontId="12" fillId="5" borderId="2" xfId="0" applyFont="1" applyFill="1" applyBorder="1" applyAlignment="1" applyProtection="1">
      <alignment horizontal="center"/>
    </xf>
    <xf numFmtId="0" fontId="12" fillId="5" borderId="3" xfId="0" applyFont="1" applyFill="1" applyBorder="1" applyAlignment="1" applyProtection="1">
      <alignment horizontal="center"/>
    </xf>
    <xf numFmtId="0" fontId="1" fillId="12" borderId="1" xfId="0" applyFont="1" applyFill="1" applyBorder="1" applyAlignment="1" applyProtection="1">
      <alignment horizontal="justify" vertical="center" wrapText="1"/>
    </xf>
    <xf numFmtId="0" fontId="9" fillId="12" borderId="2" xfId="0" applyFont="1" applyFill="1" applyBorder="1" applyAlignment="1" applyProtection="1">
      <alignment horizontal="justify" vertical="center" wrapText="1"/>
    </xf>
    <xf numFmtId="0" fontId="9" fillId="12" borderId="3" xfId="0" applyFont="1" applyFill="1" applyBorder="1" applyAlignment="1" applyProtection="1">
      <alignment horizontal="justify" vertical="center" wrapText="1"/>
    </xf>
    <xf numFmtId="0" fontId="9" fillId="12" borderId="5" xfId="0" applyFont="1" applyFill="1" applyBorder="1" applyAlignment="1" applyProtection="1">
      <alignment horizontal="justify" vertical="center" wrapText="1"/>
    </xf>
    <xf numFmtId="0" fontId="9" fillId="12" borderId="0" xfId="0" applyFont="1" applyFill="1" applyBorder="1" applyAlignment="1" applyProtection="1">
      <alignment horizontal="justify" vertical="center" wrapText="1"/>
    </xf>
    <xf numFmtId="0" fontId="9" fillId="12" borderId="4" xfId="0" applyFont="1" applyFill="1" applyBorder="1" applyAlignment="1" applyProtection="1">
      <alignment horizontal="justify" vertical="center" wrapText="1"/>
    </xf>
    <xf numFmtId="0" fontId="9" fillId="12" borderId="12" xfId="0" applyFont="1" applyFill="1" applyBorder="1" applyAlignment="1" applyProtection="1">
      <alignment horizontal="justify" vertical="center" wrapText="1"/>
    </xf>
    <xf numFmtId="0" fontId="9" fillId="12" borderId="13" xfId="0" applyFont="1" applyFill="1" applyBorder="1" applyAlignment="1" applyProtection="1">
      <alignment horizontal="justify" vertical="center" wrapText="1"/>
    </xf>
    <xf numFmtId="0" fontId="9" fillId="12" borderId="14" xfId="0" applyFont="1" applyFill="1" applyBorder="1" applyAlignment="1" applyProtection="1">
      <alignment horizontal="justify" vertical="center" wrapText="1"/>
    </xf>
    <xf numFmtId="0" fontId="0" fillId="6" borderId="10" xfId="0" applyFill="1" applyBorder="1" applyAlignment="1" applyProtection="1">
      <protection locked="0"/>
    </xf>
    <xf numFmtId="0" fontId="0" fillId="6" borderId="8" xfId="0" applyFill="1" applyBorder="1" applyAlignment="1" applyProtection="1">
      <protection locked="0"/>
    </xf>
    <xf numFmtId="0" fontId="0" fillId="6" borderId="9" xfId="0" applyFill="1" applyBorder="1" applyAlignment="1" applyProtection="1">
      <protection locked="0"/>
    </xf>
    <xf numFmtId="42" fontId="1" fillId="0" borderId="6" xfId="0" applyNumberFormat="1" applyFont="1" applyFill="1" applyBorder="1" applyAlignment="1" applyProtection="1">
      <alignment horizontal="right"/>
      <protection locked="0"/>
    </xf>
    <xf numFmtId="42" fontId="1" fillId="6" borderId="6" xfId="0" applyNumberFormat="1" applyFont="1" applyFill="1" applyBorder="1" applyAlignment="1" applyProtection="1">
      <alignment horizontal="right"/>
      <protection locked="0"/>
    </xf>
    <xf numFmtId="0" fontId="6" fillId="10" borderId="10" xfId="0" applyFont="1" applyFill="1" applyBorder="1" applyAlignment="1" applyProtection="1">
      <alignment horizontal="right"/>
    </xf>
    <xf numFmtId="0" fontId="6" fillId="10" borderId="8" xfId="0" applyFont="1" applyFill="1" applyBorder="1" applyAlignment="1" applyProtection="1">
      <alignment horizontal="right"/>
    </xf>
    <xf numFmtId="0" fontId="6" fillId="10" borderId="9" xfId="0" applyFont="1" applyFill="1" applyBorder="1" applyAlignment="1" applyProtection="1">
      <alignment horizontal="right"/>
    </xf>
    <xf numFmtId="42" fontId="6" fillId="4" borderId="6" xfId="0" applyNumberFormat="1" applyFont="1" applyFill="1" applyBorder="1" applyAlignment="1" applyProtection="1">
      <alignment horizontal="right"/>
    </xf>
    <xf numFmtId="42" fontId="1" fillId="2" borderId="6" xfId="0" applyNumberFormat="1" applyFont="1" applyFill="1" applyBorder="1" applyAlignment="1" applyProtection="1">
      <alignment horizontal="center"/>
    </xf>
    <xf numFmtId="0" fontId="10" fillId="0" borderId="11" xfId="0" applyFont="1" applyBorder="1" applyAlignment="1" applyProtection="1">
      <alignment horizontal="left"/>
    </xf>
    <xf numFmtId="0" fontId="1" fillId="6" borderId="10" xfId="0" applyFont="1" applyFill="1" applyBorder="1" applyAlignment="1" applyProtection="1">
      <protection locked="0"/>
    </xf>
    <xf numFmtId="0" fontId="0" fillId="9" borderId="10" xfId="0" applyFill="1" applyBorder="1" applyAlignment="1" applyProtection="1">
      <alignment horizontal="left"/>
    </xf>
    <xf numFmtId="0" fontId="0" fillId="9" borderId="8" xfId="0" applyFill="1" applyBorder="1" applyAlignment="1" applyProtection="1">
      <alignment horizontal="left"/>
    </xf>
    <xf numFmtId="0" fontId="0" fillId="9" borderId="9" xfId="0" applyFill="1" applyBorder="1" applyAlignment="1" applyProtection="1">
      <alignment horizontal="left"/>
    </xf>
    <xf numFmtId="42" fontId="1" fillId="2" borderId="6" xfId="0" applyNumberFormat="1" applyFont="1" applyFill="1" applyBorder="1" applyAlignment="1" applyProtection="1">
      <alignment horizontal="right"/>
    </xf>
    <xf numFmtId="0" fontId="0" fillId="6" borderId="10" xfId="0" applyFill="1" applyBorder="1" applyAlignment="1" applyProtection="1">
      <alignment horizontal="left"/>
    </xf>
    <xf numFmtId="0" fontId="0" fillId="6" borderId="8" xfId="0" applyFill="1" applyBorder="1" applyAlignment="1" applyProtection="1">
      <alignment horizontal="left"/>
    </xf>
    <xf numFmtId="0" fontId="0" fillId="6" borderId="9" xfId="0" applyFill="1" applyBorder="1" applyAlignment="1" applyProtection="1">
      <alignment horizontal="left"/>
    </xf>
    <xf numFmtId="42" fontId="1" fillId="6" borderId="6" xfId="0" applyNumberFormat="1" applyFont="1" applyFill="1" applyBorder="1" applyAlignment="1" applyProtection="1">
      <alignment horizontal="center"/>
      <protection locked="0"/>
    </xf>
    <xf numFmtId="42" fontId="1" fillId="9" borderId="6" xfId="0" applyNumberFormat="1" applyFont="1" applyFill="1" applyBorder="1" applyAlignment="1" applyProtection="1">
      <alignment horizontal="right"/>
      <protection locked="0"/>
    </xf>
    <xf numFmtId="42" fontId="1" fillId="9" borderId="6" xfId="0" applyNumberFormat="1" applyFont="1" applyFill="1" applyBorder="1" applyAlignment="1" applyProtection="1">
      <alignment horizontal="center"/>
      <protection locked="0"/>
    </xf>
    <xf numFmtId="49" fontId="1" fillId="0" borderId="0" xfId="0" applyNumberFormat="1" applyFont="1" applyBorder="1" applyAlignment="1" applyProtection="1">
      <alignment horizontal="justify" vertical="top" wrapText="1"/>
    </xf>
    <xf numFmtId="49" fontId="9" fillId="0" borderId="0" xfId="0" applyNumberFormat="1" applyFont="1" applyBorder="1" applyAlignment="1" applyProtection="1">
      <alignment horizontal="justify" vertical="top" wrapText="1"/>
    </xf>
    <xf numFmtId="0" fontId="9" fillId="0" borderId="0" xfId="0" applyFont="1" applyBorder="1" applyAlignment="1" applyProtection="1">
      <alignment horizontal="right" wrapText="1"/>
    </xf>
    <xf numFmtId="0" fontId="0" fillId="0" borderId="0" xfId="0" applyBorder="1" applyAlignment="1" applyProtection="1">
      <alignment horizontal="right" wrapText="1"/>
    </xf>
    <xf numFmtId="0" fontId="1" fillId="12" borderId="1" xfId="0" applyFont="1" applyFill="1" applyBorder="1" applyAlignment="1" applyProtection="1">
      <alignment wrapText="1"/>
    </xf>
    <xf numFmtId="0" fontId="0" fillId="12" borderId="2" xfId="0" applyFill="1" applyBorder="1" applyAlignment="1" applyProtection="1">
      <alignment wrapText="1"/>
    </xf>
    <xf numFmtId="0" fontId="0" fillId="12" borderId="3" xfId="0" applyFill="1" applyBorder="1" applyAlignment="1" applyProtection="1">
      <alignment wrapText="1"/>
    </xf>
    <xf numFmtId="0" fontId="12" fillId="5" borderId="10" xfId="0" applyFont="1" applyFill="1" applyBorder="1" applyAlignment="1" applyProtection="1">
      <alignment horizontal="left"/>
    </xf>
    <xf numFmtId="0" fontId="12" fillId="5" borderId="8" xfId="0" applyFont="1" applyFill="1" applyBorder="1" applyAlignment="1" applyProtection="1">
      <alignment horizontal="left"/>
    </xf>
    <xf numFmtId="0" fontId="12" fillId="5" borderId="9" xfId="0" applyFont="1" applyFill="1" applyBorder="1" applyAlignment="1" applyProtection="1">
      <alignment horizontal="left"/>
    </xf>
    <xf numFmtId="49" fontId="1" fillId="0" borderId="1" xfId="0" applyNumberFormat="1" applyFont="1" applyBorder="1" applyAlignment="1" applyProtection="1">
      <alignment horizontal="left" vertical="top" wrapText="1"/>
      <protection locked="0"/>
    </xf>
    <xf numFmtId="49" fontId="1" fillId="0" borderId="2" xfId="0" applyNumberFormat="1" applyFont="1" applyBorder="1" applyAlignment="1" applyProtection="1">
      <alignment horizontal="left" vertical="top" wrapText="1"/>
      <protection locked="0"/>
    </xf>
    <xf numFmtId="49" fontId="1" fillId="0" borderId="3"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0"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12"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0" fontId="6" fillId="10" borderId="6" xfId="0" applyFont="1" applyFill="1" applyBorder="1" applyAlignment="1" applyProtection="1">
      <alignment horizontal="right"/>
    </xf>
    <xf numFmtId="0" fontId="1" fillId="0" borderId="10" xfId="0" applyNumberFormat="1" applyFont="1" applyFill="1" applyBorder="1" applyAlignment="1" applyProtection="1">
      <alignment horizontal="left"/>
      <protection locked="0"/>
    </xf>
    <xf numFmtId="0" fontId="1" fillId="0" borderId="8" xfId="0" applyNumberFormat="1" applyFont="1" applyFill="1" applyBorder="1" applyAlignment="1" applyProtection="1">
      <alignment horizontal="left"/>
      <protection locked="0"/>
    </xf>
    <xf numFmtId="0" fontId="1" fillId="0" borderId="9" xfId="0" applyNumberFormat="1" applyFont="1" applyFill="1" applyBorder="1" applyAlignment="1" applyProtection="1">
      <alignment horizontal="left"/>
      <protection locked="0"/>
    </xf>
    <xf numFmtId="0" fontId="9" fillId="0" borderId="13" xfId="0" applyFont="1" applyBorder="1" applyAlignment="1" applyProtection="1">
      <alignment horizontal="center" vertical="center"/>
    </xf>
    <xf numFmtId="0" fontId="0" fillId="0" borderId="13" xfId="0" applyBorder="1" applyAlignment="1" applyProtection="1">
      <alignment horizontal="center" vertical="center"/>
    </xf>
    <xf numFmtId="0" fontId="1" fillId="0" borderId="13" xfId="0" applyFont="1" applyBorder="1" applyAlignment="1" applyProtection="1">
      <alignment horizontal="center" vertical="center" wrapText="1"/>
    </xf>
    <xf numFmtId="0" fontId="0" fillId="0" borderId="14" xfId="0" applyBorder="1" applyAlignment="1" applyProtection="1">
      <alignment horizontal="center" vertical="center"/>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12" borderId="1" xfId="0" applyFont="1" applyFill="1" applyBorder="1" applyAlignment="1" applyProtection="1">
      <alignment horizontal="justify" vertical="center"/>
    </xf>
    <xf numFmtId="0" fontId="0" fillId="12" borderId="2" xfId="0" applyFill="1" applyBorder="1" applyAlignment="1" applyProtection="1">
      <alignment horizontal="justify" vertical="center"/>
    </xf>
    <xf numFmtId="0" fontId="0" fillId="12" borderId="3" xfId="0" applyFill="1" applyBorder="1" applyAlignment="1" applyProtection="1">
      <alignment horizontal="justify" vertical="center"/>
    </xf>
    <xf numFmtId="0" fontId="1" fillId="12" borderId="5" xfId="0" applyFont="1" applyFill="1" applyBorder="1" applyAlignment="1" applyProtection="1">
      <alignment horizontal="justify" vertical="center"/>
    </xf>
    <xf numFmtId="0" fontId="0" fillId="12" borderId="0" xfId="0" applyFill="1" applyBorder="1" applyAlignment="1" applyProtection="1">
      <alignment horizontal="justify" vertical="center"/>
    </xf>
    <xf numFmtId="0" fontId="0" fillId="12" borderId="4" xfId="0" applyFill="1" applyBorder="1" applyAlignment="1" applyProtection="1">
      <alignment horizontal="justify" vertical="center"/>
    </xf>
    <xf numFmtId="0" fontId="1" fillId="12" borderId="12" xfId="0" applyFont="1" applyFill="1" applyBorder="1" applyAlignment="1" applyProtection="1">
      <alignment horizontal="justify" vertical="center"/>
    </xf>
    <xf numFmtId="0" fontId="0" fillId="12" borderId="13" xfId="0" applyFill="1" applyBorder="1" applyAlignment="1" applyProtection="1">
      <alignment horizontal="justify" vertical="center"/>
    </xf>
    <xf numFmtId="0" fontId="0" fillId="12" borderId="14" xfId="0" applyFill="1" applyBorder="1" applyAlignment="1" applyProtection="1">
      <alignment horizontal="justify" vertical="center"/>
    </xf>
    <xf numFmtId="0" fontId="1" fillId="12" borderId="12" xfId="0" applyFont="1" applyFill="1" applyBorder="1" applyAlignment="1" applyProtection="1">
      <alignment horizontal="left" wrapText="1"/>
    </xf>
    <xf numFmtId="0" fontId="1" fillId="12" borderId="13" xfId="0" applyFont="1" applyFill="1" applyBorder="1" applyAlignment="1" applyProtection="1">
      <alignment horizontal="left" wrapText="1"/>
    </xf>
    <xf numFmtId="0" fontId="1" fillId="12" borderId="14" xfId="0" applyFont="1" applyFill="1" applyBorder="1" applyAlignment="1" applyProtection="1">
      <alignment horizontal="left" wrapText="1"/>
    </xf>
    <xf numFmtId="0" fontId="1" fillId="12" borderId="6" xfId="0" applyFont="1" applyFill="1" applyBorder="1" applyAlignment="1" applyProtection="1"/>
    <xf numFmtId="0" fontId="0" fillId="12" borderId="6" xfId="0" applyFill="1" applyBorder="1" applyAlignment="1" applyProtection="1"/>
    <xf numFmtId="0" fontId="1" fillId="0" borderId="0" xfId="0" applyFont="1" applyBorder="1" applyAlignment="1" applyProtection="1">
      <alignment horizontal="justify" wrapText="1"/>
    </xf>
    <xf numFmtId="0" fontId="1" fillId="9" borderId="6" xfId="0" applyFont="1" applyFill="1" applyBorder="1" applyAlignment="1" applyProtection="1">
      <alignment horizontal="left"/>
    </xf>
    <xf numFmtId="0" fontId="0" fillId="9" borderId="6" xfId="0" applyFill="1" applyBorder="1" applyAlignment="1" applyProtection="1">
      <alignment horizontal="left"/>
    </xf>
    <xf numFmtId="0" fontId="0" fillId="6" borderId="6" xfId="0" applyFill="1" applyBorder="1" applyAlignment="1" applyProtection="1">
      <alignment horizontal="left"/>
    </xf>
    <xf numFmtId="0" fontId="4" fillId="0" borderId="0" xfId="0" applyFont="1" applyAlignment="1" applyProtection="1">
      <alignment horizontal="center"/>
    </xf>
    <xf numFmtId="0" fontId="1" fillId="0" borderId="0" xfId="0" applyFont="1" applyBorder="1" applyAlignment="1" applyProtection="1">
      <alignment horizontal="left" vertical="top" wrapText="1"/>
    </xf>
    <xf numFmtId="0" fontId="1" fillId="0" borderId="1" xfId="0" applyNumberFormat="1"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horizontal="center" vertical="center" wrapText="1"/>
      <protection locked="0"/>
    </xf>
    <xf numFmtId="0" fontId="1" fillId="0" borderId="3" xfId="0" applyNumberFormat="1" applyFont="1" applyFill="1" applyBorder="1" applyAlignment="1" applyProtection="1">
      <alignment horizontal="center" vertical="center" wrapText="1"/>
      <protection locked="0"/>
    </xf>
    <xf numFmtId="0" fontId="1" fillId="0" borderId="12" xfId="0" applyNumberFormat="1" applyFont="1" applyFill="1" applyBorder="1" applyAlignment="1" applyProtection="1">
      <alignment horizontal="center" vertical="center" wrapText="1"/>
      <protection locked="0"/>
    </xf>
    <xf numFmtId="0" fontId="1" fillId="0" borderId="13" xfId="0" applyNumberFormat="1" applyFont="1" applyFill="1" applyBorder="1" applyAlignment="1" applyProtection="1">
      <alignment horizontal="center" vertical="center" wrapText="1"/>
      <protection locked="0"/>
    </xf>
    <xf numFmtId="0" fontId="1" fillId="0" borderId="14" xfId="0" applyNumberFormat="1" applyFont="1" applyFill="1" applyBorder="1" applyAlignment="1" applyProtection="1">
      <alignment horizontal="center" vertical="center" wrapText="1"/>
      <protection locked="0"/>
    </xf>
    <xf numFmtId="0" fontId="1" fillId="0" borderId="0" xfId="0" applyFont="1" applyAlignment="1" applyProtection="1">
      <alignment horizontal="left" vertical="top" wrapText="1"/>
    </xf>
    <xf numFmtId="0" fontId="0" fillId="0" borderId="0" xfId="0" applyAlignment="1" applyProtection="1">
      <alignment horizontal="left" vertical="top" wrapText="1"/>
    </xf>
    <xf numFmtId="0" fontId="9" fillId="0" borderId="10" xfId="0" applyNumberFormat="1" applyFont="1" applyFill="1" applyBorder="1" applyAlignment="1" applyProtection="1">
      <alignment horizontal="left"/>
      <protection locked="0"/>
    </xf>
    <xf numFmtId="0" fontId="9" fillId="0" borderId="8" xfId="0" applyNumberFormat="1" applyFont="1" applyFill="1" applyBorder="1" applyAlignment="1" applyProtection="1">
      <alignment horizontal="left"/>
      <protection locked="0"/>
    </xf>
    <xf numFmtId="0" fontId="9" fillId="0" borderId="9" xfId="0" applyNumberFormat="1" applyFont="1" applyFill="1" applyBorder="1" applyAlignment="1" applyProtection="1">
      <alignment horizontal="left"/>
      <protection locked="0"/>
    </xf>
    <xf numFmtId="0" fontId="6" fillId="0" borderId="0" xfId="0" applyFont="1" applyBorder="1" applyAlignment="1" applyProtection="1">
      <alignment horizontal="justify" vertical="center" wrapText="1"/>
    </xf>
    <xf numFmtId="0" fontId="9" fillId="0" borderId="0" xfId="0" applyFont="1" applyBorder="1" applyAlignment="1" applyProtection="1">
      <alignment horizontal="justify" vertical="top" wrapText="1"/>
    </xf>
    <xf numFmtId="0" fontId="1" fillId="12" borderId="2" xfId="0" applyFont="1" applyFill="1" applyBorder="1" applyAlignment="1" applyProtection="1">
      <alignment wrapText="1"/>
    </xf>
    <xf numFmtId="0" fontId="1" fillId="12" borderId="3" xfId="0" applyFont="1" applyFill="1" applyBorder="1" applyAlignment="1" applyProtection="1">
      <alignment wrapText="1"/>
    </xf>
    <xf numFmtId="0" fontId="1" fillId="12" borderId="10" xfId="0" applyFont="1" applyFill="1" applyBorder="1" applyAlignment="1" applyProtection="1"/>
    <xf numFmtId="0" fontId="1" fillId="12" borderId="8" xfId="0" applyFont="1" applyFill="1" applyBorder="1" applyAlignment="1" applyProtection="1"/>
    <xf numFmtId="0" fontId="1" fillId="12" borderId="9" xfId="0" applyFont="1" applyFill="1" applyBorder="1" applyAlignment="1" applyProtection="1"/>
    <xf numFmtId="0" fontId="9" fillId="12" borderId="10" xfId="0" applyFont="1" applyFill="1" applyBorder="1" applyAlignment="1" applyProtection="1"/>
    <xf numFmtId="0" fontId="9" fillId="12" borderId="8" xfId="0" applyFont="1" applyFill="1" applyBorder="1" applyAlignment="1" applyProtection="1"/>
    <xf numFmtId="0" fontId="9" fillId="12" borderId="9" xfId="0" applyFont="1" applyFill="1" applyBorder="1" applyAlignment="1" applyProtection="1"/>
    <xf numFmtId="0" fontId="1" fillId="0" borderId="1" xfId="0" applyNumberFormat="1" applyFont="1" applyFill="1" applyBorder="1" applyAlignment="1" applyProtection="1">
      <alignment horizontal="center" vertical="center"/>
      <protection locked="0"/>
    </xf>
    <xf numFmtId="0" fontId="1" fillId="0" borderId="2" xfId="0" applyNumberFormat="1" applyFont="1" applyFill="1" applyBorder="1" applyAlignment="1" applyProtection="1">
      <alignment horizontal="center" vertical="center"/>
      <protection locked="0"/>
    </xf>
    <xf numFmtId="0" fontId="1" fillId="0" borderId="3" xfId="0" applyNumberFormat="1" applyFont="1" applyFill="1" applyBorder="1" applyAlignment="1" applyProtection="1">
      <alignment horizontal="center" vertical="center"/>
      <protection locked="0"/>
    </xf>
    <xf numFmtId="0" fontId="1" fillId="0" borderId="12" xfId="0" applyNumberFormat="1" applyFont="1" applyFill="1" applyBorder="1" applyAlignment="1" applyProtection="1">
      <alignment horizontal="center" vertical="center"/>
      <protection locked="0"/>
    </xf>
    <xf numFmtId="0" fontId="1" fillId="0" borderId="13" xfId="0" applyNumberFormat="1" applyFont="1" applyFill="1" applyBorder="1" applyAlignment="1" applyProtection="1">
      <alignment horizontal="center" vertical="center"/>
      <protection locked="0"/>
    </xf>
    <xf numFmtId="0" fontId="1" fillId="0" borderId="14" xfId="0" applyNumberFormat="1" applyFont="1" applyFill="1" applyBorder="1" applyAlignment="1" applyProtection="1">
      <alignment horizontal="center" vertical="center"/>
      <protection locked="0"/>
    </xf>
    <xf numFmtId="0" fontId="44" fillId="0" borderId="2" xfId="0" applyFont="1" applyBorder="1" applyAlignment="1" applyProtection="1">
      <alignment horizontal="left" vertical="top" wrapText="1"/>
      <protection locked="0"/>
    </xf>
    <xf numFmtId="0" fontId="44" fillId="0" borderId="3" xfId="0" applyFont="1" applyBorder="1" applyAlignment="1" applyProtection="1">
      <alignment horizontal="left" vertical="top" wrapText="1"/>
      <protection locked="0"/>
    </xf>
    <xf numFmtId="0" fontId="44" fillId="0" borderId="5" xfId="0" applyFont="1" applyBorder="1" applyAlignment="1" applyProtection="1">
      <alignment horizontal="left" vertical="top" wrapText="1"/>
      <protection locked="0"/>
    </xf>
    <xf numFmtId="0" fontId="44" fillId="0" borderId="0" xfId="0" applyFont="1" applyBorder="1" applyAlignment="1" applyProtection="1">
      <alignment horizontal="left" vertical="top" wrapText="1"/>
      <protection locked="0"/>
    </xf>
    <xf numFmtId="0" fontId="44" fillId="0" borderId="4" xfId="0" applyFont="1" applyBorder="1" applyAlignment="1" applyProtection="1">
      <alignment horizontal="left" vertical="top" wrapText="1"/>
      <protection locked="0"/>
    </xf>
    <xf numFmtId="0" fontId="44" fillId="0" borderId="12" xfId="0" applyFont="1" applyBorder="1" applyAlignment="1" applyProtection="1">
      <alignment horizontal="left" vertical="top" wrapText="1"/>
      <protection locked="0"/>
    </xf>
    <xf numFmtId="0" fontId="44" fillId="0" borderId="13" xfId="0" applyFont="1" applyBorder="1" applyAlignment="1" applyProtection="1">
      <alignment horizontal="left" vertical="top" wrapText="1"/>
      <protection locked="0"/>
    </xf>
    <xf numFmtId="0" fontId="44" fillId="0" borderId="14" xfId="0" applyFont="1" applyBorder="1" applyAlignment="1" applyProtection="1">
      <alignment horizontal="left" vertical="top" wrapText="1"/>
      <protection locked="0"/>
    </xf>
    <xf numFmtId="0" fontId="1" fillId="0" borderId="10" xfId="0" applyNumberFormat="1" applyFont="1" applyFill="1" applyBorder="1" applyAlignment="1" applyProtection="1">
      <alignment horizontal="left" vertical="center"/>
      <protection locked="0"/>
    </xf>
    <xf numFmtId="0" fontId="1" fillId="0" borderId="8" xfId="0" applyNumberFormat="1" applyFont="1" applyFill="1" applyBorder="1" applyAlignment="1" applyProtection="1">
      <alignment horizontal="left" vertical="center"/>
      <protection locked="0"/>
    </xf>
    <xf numFmtId="0" fontId="1" fillId="0" borderId="9" xfId="0" applyNumberFormat="1" applyFont="1" applyFill="1" applyBorder="1" applyAlignment="1" applyProtection="1">
      <alignment horizontal="left" vertical="center"/>
      <protection locked="0"/>
    </xf>
    <xf numFmtId="42" fontId="1" fillId="6" borderId="10" xfId="0" applyNumberFormat="1" applyFont="1" applyFill="1" applyBorder="1" applyAlignment="1" applyProtection="1">
      <alignment horizontal="center"/>
      <protection locked="0"/>
    </xf>
    <xf numFmtId="42" fontId="1" fillId="6" borderId="9" xfId="0" applyNumberFormat="1" applyFont="1" applyFill="1" applyBorder="1" applyAlignment="1" applyProtection="1">
      <alignment horizontal="center"/>
      <protection locked="0"/>
    </xf>
    <xf numFmtId="42" fontId="1" fillId="6" borderId="10" xfId="0" applyNumberFormat="1" applyFont="1" applyFill="1" applyBorder="1" applyAlignment="1" applyProtection="1">
      <alignment horizontal="right"/>
      <protection locked="0"/>
    </xf>
    <xf numFmtId="42" fontId="1" fillId="6" borderId="9" xfId="0" applyNumberFormat="1" applyFont="1" applyFill="1" applyBorder="1" applyAlignment="1" applyProtection="1">
      <alignment horizontal="right"/>
      <protection locked="0"/>
    </xf>
    <xf numFmtId="42" fontId="1" fillId="0" borderId="10" xfId="0" applyNumberFormat="1" applyFont="1" applyFill="1" applyBorder="1" applyAlignment="1" applyProtection="1">
      <alignment horizontal="right"/>
      <protection locked="0"/>
    </xf>
    <xf numFmtId="42" fontId="1" fillId="0" borderId="9" xfId="0" applyNumberFormat="1" applyFont="1" applyFill="1" applyBorder="1" applyAlignment="1" applyProtection="1">
      <alignment horizontal="right"/>
      <protection locked="0"/>
    </xf>
    <xf numFmtId="0" fontId="1" fillId="0" borderId="8" xfId="0"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42" fontId="1" fillId="9" borderId="10" xfId="0" applyNumberFormat="1" applyFont="1" applyFill="1" applyBorder="1" applyAlignment="1" applyProtection="1">
      <alignment horizontal="right"/>
      <protection locked="0"/>
    </xf>
    <xf numFmtId="42" fontId="1" fillId="9" borderId="9" xfId="0" applyNumberFormat="1" applyFont="1" applyFill="1" applyBorder="1" applyAlignment="1" applyProtection="1">
      <alignment horizontal="right"/>
      <protection locked="0"/>
    </xf>
    <xf numFmtId="42" fontId="1" fillId="9" borderId="10" xfId="0" applyNumberFormat="1" applyFont="1" applyFill="1" applyBorder="1" applyAlignment="1" applyProtection="1">
      <alignment horizontal="center"/>
      <protection locked="0"/>
    </xf>
    <xf numFmtId="42" fontId="1" fillId="9" borderId="9" xfId="0" applyNumberFormat="1" applyFont="1" applyFill="1" applyBorder="1" applyAlignment="1" applyProtection="1">
      <alignment horizontal="center"/>
      <protection locked="0"/>
    </xf>
    <xf numFmtId="42" fontId="1" fillId="2" borderId="10" xfId="0" applyNumberFormat="1" applyFont="1" applyFill="1" applyBorder="1" applyAlignment="1" applyProtection="1">
      <alignment horizontal="right"/>
    </xf>
    <xf numFmtId="42" fontId="1" fillId="2" borderId="9" xfId="0" applyNumberFormat="1" applyFont="1" applyFill="1" applyBorder="1" applyAlignment="1" applyProtection="1">
      <alignment horizontal="right"/>
    </xf>
    <xf numFmtId="42" fontId="1" fillId="2" borderId="10" xfId="0" applyNumberFormat="1" applyFont="1" applyFill="1" applyBorder="1" applyAlignment="1" applyProtection="1">
      <alignment horizontal="center"/>
    </xf>
    <xf numFmtId="42" fontId="1" fillId="2" borderId="9" xfId="0" applyNumberFormat="1" applyFont="1" applyFill="1" applyBorder="1" applyAlignment="1" applyProtection="1">
      <alignment horizontal="center"/>
    </xf>
    <xf numFmtId="0" fontId="1" fillId="12" borderId="2" xfId="0" applyFont="1" applyFill="1" applyBorder="1" applyAlignment="1" applyProtection="1">
      <alignment horizontal="justify" vertical="center"/>
    </xf>
    <xf numFmtId="0" fontId="1" fillId="12" borderId="3" xfId="0" applyFont="1" applyFill="1" applyBorder="1" applyAlignment="1" applyProtection="1">
      <alignment horizontal="justify" vertical="center"/>
    </xf>
    <xf numFmtId="0" fontId="1" fillId="12" borderId="0" xfId="0" applyFont="1" applyFill="1" applyBorder="1" applyAlignment="1" applyProtection="1">
      <alignment horizontal="justify" vertical="center"/>
    </xf>
    <xf numFmtId="0" fontId="1" fillId="12" borderId="4" xfId="0" applyFont="1" applyFill="1" applyBorder="1" applyAlignment="1" applyProtection="1">
      <alignment horizontal="justify" vertical="center"/>
    </xf>
    <xf numFmtId="0" fontId="1" fillId="12" borderId="13" xfId="0" applyFont="1" applyFill="1" applyBorder="1" applyAlignment="1" applyProtection="1">
      <alignment horizontal="justify" vertical="center"/>
    </xf>
    <xf numFmtId="0" fontId="1" fillId="12" borderId="14" xfId="0" applyFont="1" applyFill="1" applyBorder="1" applyAlignment="1" applyProtection="1">
      <alignment horizontal="justify" vertical="center"/>
    </xf>
    <xf numFmtId="42" fontId="6" fillId="4" borderId="10" xfId="0" applyNumberFormat="1" applyFont="1" applyFill="1" applyBorder="1" applyAlignment="1" applyProtection="1">
      <alignment horizontal="right"/>
    </xf>
    <xf numFmtId="42" fontId="6" fillId="4" borderId="9" xfId="0" applyNumberFormat="1" applyFont="1" applyFill="1" applyBorder="1" applyAlignment="1" applyProtection="1">
      <alignment horizontal="right"/>
    </xf>
    <xf numFmtId="0" fontId="1" fillId="0" borderId="13" xfId="0" applyFont="1" applyBorder="1" applyAlignment="1" applyProtection="1">
      <alignment horizontal="center" vertical="center"/>
    </xf>
    <xf numFmtId="0" fontId="41" fillId="0" borderId="0" xfId="0" applyFont="1" applyAlignment="1">
      <alignment horizontal="center"/>
    </xf>
    <xf numFmtId="0" fontId="41" fillId="0" borderId="4" xfId="0" applyFont="1" applyBorder="1" applyAlignment="1">
      <alignment horizontal="center"/>
    </xf>
    <xf numFmtId="0" fontId="31" fillId="0" borderId="0" xfId="0" applyFont="1" applyAlignment="1" applyProtection="1">
      <alignment horizontal="center"/>
    </xf>
    <xf numFmtId="0" fontId="31" fillId="0" borderId="4" xfId="0" applyFont="1" applyBorder="1" applyAlignment="1" applyProtection="1">
      <alignment horizontal="center"/>
    </xf>
    <xf numFmtId="0" fontId="29" fillId="0" borderId="0" xfId="0" applyFont="1" applyAlignment="1">
      <alignment horizontal="center"/>
    </xf>
    <xf numFmtId="0" fontId="4" fillId="0" borderId="0" xfId="0" applyFont="1" applyAlignment="1">
      <alignment horizontal="center"/>
    </xf>
    <xf numFmtId="0" fontId="34" fillId="13" borderId="5" xfId="0" applyFont="1" applyFill="1" applyBorder="1" applyAlignment="1" applyProtection="1">
      <alignment horizontal="center" vertical="center" wrapText="1"/>
    </xf>
    <xf numFmtId="0" fontId="34" fillId="13" borderId="0" xfId="0" applyFont="1" applyFill="1" applyBorder="1" applyAlignment="1" applyProtection="1">
      <alignment horizontal="center" vertical="center" wrapText="1"/>
    </xf>
    <xf numFmtId="0" fontId="4" fillId="0" borderId="4" xfId="0" applyFont="1" applyBorder="1" applyAlignment="1">
      <alignment horizontal="center"/>
    </xf>
    <xf numFmtId="0" fontId="18" fillId="12" borderId="15" xfId="0" applyFont="1" applyFill="1" applyBorder="1" applyAlignment="1" applyProtection="1">
      <alignment horizontal="center" vertical="center"/>
    </xf>
    <xf numFmtId="0" fontId="18" fillId="12" borderId="16" xfId="0" applyFont="1" applyFill="1" applyBorder="1" applyAlignment="1" applyProtection="1">
      <alignment horizontal="center" vertical="center"/>
    </xf>
    <xf numFmtId="0" fontId="18" fillId="12" borderId="17" xfId="0" applyFont="1" applyFill="1" applyBorder="1" applyAlignment="1" applyProtection="1">
      <alignment horizontal="center" vertical="center"/>
    </xf>
    <xf numFmtId="0" fontId="13" fillId="5" borderId="5" xfId="0" applyFont="1" applyFill="1" applyBorder="1" applyAlignment="1" applyProtection="1">
      <alignment horizontal="center" vertical="center" wrapText="1"/>
    </xf>
    <xf numFmtId="0" fontId="13" fillId="5" borderId="0" xfId="0" applyFont="1" applyFill="1" applyBorder="1" applyAlignment="1" applyProtection="1">
      <alignment horizontal="center" vertical="center" wrapText="1"/>
    </xf>
    <xf numFmtId="0" fontId="27" fillId="7" borderId="8" xfId="0" applyFont="1" applyFill="1" applyBorder="1" applyAlignment="1" applyProtection="1">
      <alignment horizontal="left"/>
    </xf>
    <xf numFmtId="0" fontId="27" fillId="7" borderId="9" xfId="0" applyFont="1" applyFill="1" applyBorder="1" applyAlignment="1" applyProtection="1">
      <alignment horizontal="left"/>
    </xf>
    <xf numFmtId="0" fontId="0" fillId="3" borderId="10" xfId="0" applyFill="1" applyBorder="1" applyAlignment="1">
      <alignment horizontal="left"/>
    </xf>
    <xf numFmtId="0" fontId="0" fillId="3" borderId="8" xfId="0" applyFill="1" applyBorder="1" applyAlignment="1">
      <alignment horizontal="left"/>
    </xf>
    <xf numFmtId="0" fontId="0" fillId="3" borderId="9" xfId="0" applyFill="1" applyBorder="1" applyAlignment="1">
      <alignment horizontal="left"/>
    </xf>
    <xf numFmtId="0" fontId="0" fillId="0" borderId="10"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5" fillId="7" borderId="10" xfId="0" applyFont="1" applyFill="1" applyBorder="1" applyAlignment="1">
      <alignment horizontal="center"/>
    </xf>
    <xf numFmtId="0" fontId="5" fillId="7" borderId="8" xfId="0" applyFont="1" applyFill="1" applyBorder="1" applyAlignment="1">
      <alignment horizontal="center"/>
    </xf>
    <xf numFmtId="0" fontId="5" fillId="7" borderId="9" xfId="0" applyFont="1" applyFill="1" applyBorder="1" applyAlignment="1">
      <alignment horizont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4"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6" fillId="0" borderId="0" xfId="0" applyFont="1" applyBorder="1" applyAlignment="1">
      <alignment horizontal="center" vertical="top" wrapText="1"/>
    </xf>
    <xf numFmtId="0" fontId="6" fillId="0" borderId="4" xfId="0" applyFont="1" applyBorder="1" applyAlignment="1">
      <alignment horizontal="center" vertical="top" wrapText="1"/>
    </xf>
    <xf numFmtId="0" fontId="6" fillId="0" borderId="13" xfId="0" applyFont="1" applyBorder="1" applyAlignment="1">
      <alignment horizontal="center" vertical="top" wrapText="1"/>
    </xf>
    <xf numFmtId="0" fontId="6" fillId="0" borderId="14" xfId="0" applyFont="1" applyBorder="1" applyAlignment="1">
      <alignment horizontal="center" vertical="top" wrapText="1"/>
    </xf>
    <xf numFmtId="0" fontId="6" fillId="0" borderId="12" xfId="0" applyFont="1" applyBorder="1" applyAlignment="1">
      <alignment horizontal="center"/>
    </xf>
    <xf numFmtId="0" fontId="6" fillId="0" borderId="13" xfId="0" applyFont="1" applyBorder="1" applyAlignment="1">
      <alignment horizontal="center"/>
    </xf>
    <xf numFmtId="0" fontId="0" fillId="0" borderId="0" xfId="0" applyBorder="1" applyAlignment="1">
      <alignment horizontal="center"/>
    </xf>
    <xf numFmtId="0" fontId="0" fillId="0" borderId="0" xfId="0" applyAlignment="1">
      <alignment horizontal="left"/>
    </xf>
    <xf numFmtId="0" fontId="0" fillId="0" borderId="10" xfId="0" applyBorder="1" applyAlignment="1" applyProtection="1">
      <alignment horizontal="left"/>
      <protection locked="0"/>
    </xf>
    <xf numFmtId="0" fontId="0" fillId="0" borderId="8" xfId="0" applyBorder="1" applyAlignment="1" applyProtection="1">
      <alignment horizontal="left"/>
      <protection locked="0"/>
    </xf>
    <xf numFmtId="0" fontId="0" fillId="0" borderId="9" xfId="0" applyBorder="1" applyAlignment="1" applyProtection="1">
      <alignment horizontal="left"/>
      <protection locked="0"/>
    </xf>
    <xf numFmtId="0" fontId="0" fillId="3" borderId="10" xfId="0" applyFill="1" applyBorder="1" applyAlignment="1" applyProtection="1">
      <alignment horizontal="left"/>
      <protection locked="0"/>
    </xf>
    <xf numFmtId="0" fontId="0" fillId="3" borderId="8"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5" xfId="0" applyFill="1" applyBorder="1" applyAlignment="1">
      <alignment horizontal="left"/>
    </xf>
    <xf numFmtId="0" fontId="0" fillId="3" borderId="0" xfId="0" applyFill="1" applyBorder="1" applyAlignment="1">
      <alignment horizontal="left"/>
    </xf>
    <xf numFmtId="0" fontId="0" fillId="3" borderId="4" xfId="0" applyFill="1" applyBorder="1" applyAlignment="1">
      <alignment horizontal="left"/>
    </xf>
    <xf numFmtId="0" fontId="0" fillId="3" borderId="12" xfId="0" applyFill="1"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3" borderId="1" xfId="0"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13" xfId="0" applyFill="1" applyBorder="1" applyAlignment="1">
      <alignment horizontal="left"/>
    </xf>
    <xf numFmtId="0" fontId="0" fillId="3" borderId="14" xfId="0" applyFill="1" applyBorder="1" applyAlignment="1">
      <alignment horizontal="left"/>
    </xf>
    <xf numFmtId="0" fontId="0" fillId="0" borderId="1" xfId="0" applyBorder="1" applyAlignment="1" applyProtection="1">
      <alignment horizontal="left" vertical="top" wrapText="1"/>
      <protection locked="0"/>
    </xf>
    <xf numFmtId="0" fontId="0" fillId="0" borderId="5" xfId="0" applyBorder="1" applyAlignment="1">
      <alignment horizontal="left"/>
    </xf>
    <xf numFmtId="0" fontId="0" fillId="0" borderId="0" xfId="0" applyBorder="1" applyAlignment="1">
      <alignment horizontal="left"/>
    </xf>
    <xf numFmtId="0" fontId="0" fillId="0" borderId="4" xfId="0" applyBorder="1" applyAlignment="1">
      <alignment horizontal="left"/>
    </xf>
    <xf numFmtId="0" fontId="0" fillId="0" borderId="12" xfId="0" applyBorder="1" applyAlignment="1">
      <alignment horizontal="left"/>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5" fillId="7" borderId="1" xfId="0" applyFont="1" applyFill="1" applyBorder="1" applyAlignment="1">
      <alignment horizontal="center"/>
    </xf>
    <xf numFmtId="0" fontId="5" fillId="7" borderId="2" xfId="0" applyFont="1" applyFill="1" applyBorder="1" applyAlignment="1">
      <alignment horizontal="center"/>
    </xf>
    <xf numFmtId="0" fontId="5" fillId="7" borderId="3" xfId="0" applyFont="1" applyFill="1" applyBorder="1" applyAlignment="1">
      <alignment horizontal="center"/>
    </xf>
    <xf numFmtId="0" fontId="0" fillId="0" borderId="0" xfId="0" applyAlignment="1" applyProtection="1">
      <alignment horizontal="left"/>
    </xf>
    <xf numFmtId="0" fontId="9" fillId="3" borderId="12" xfId="0" applyFont="1" applyFill="1" applyBorder="1" applyAlignment="1">
      <alignment horizontal="left"/>
    </xf>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5" xfId="0" applyFill="1" applyBorder="1" applyAlignment="1">
      <alignment horizontal="left" vertical="top" wrapText="1"/>
    </xf>
    <xf numFmtId="0" fontId="0" fillId="3" borderId="0" xfId="0" applyFill="1" applyBorder="1" applyAlignment="1">
      <alignment horizontal="left" vertical="top" wrapText="1"/>
    </xf>
    <xf numFmtId="0" fontId="0" fillId="3" borderId="4" xfId="0" applyFill="1" applyBorder="1" applyAlignment="1">
      <alignment horizontal="left" vertical="top" wrapText="1"/>
    </xf>
    <xf numFmtId="0" fontId="0" fillId="3" borderId="12" xfId="0" applyFill="1" applyBorder="1" applyAlignment="1">
      <alignment horizontal="left" vertical="top" wrapText="1"/>
    </xf>
    <xf numFmtId="0" fontId="0" fillId="3" borderId="13" xfId="0" applyFill="1" applyBorder="1" applyAlignment="1">
      <alignment horizontal="left" vertical="top" wrapText="1"/>
    </xf>
    <xf numFmtId="0" fontId="0" fillId="3" borderId="14" xfId="0" applyFill="1" applyBorder="1" applyAlignment="1">
      <alignment horizontal="left" vertical="top" wrapText="1"/>
    </xf>
    <xf numFmtId="0" fontId="0" fillId="0" borderId="0" xfId="0" applyBorder="1" applyAlignment="1" applyProtection="1">
      <alignment horizontal="left"/>
    </xf>
    <xf numFmtId="0" fontId="6" fillId="0" borderId="0" xfId="0" applyFont="1" applyBorder="1" applyAlignment="1" applyProtection="1">
      <alignment horizontal="left"/>
    </xf>
  </cellXfs>
  <cellStyles count="2">
    <cellStyle name="Hyperlink" xfId="1" builtinId="8"/>
    <cellStyle name="Normal" xfId="0" builtinId="0"/>
  </cellStyles>
  <dxfs count="0"/>
  <tableStyles count="0" defaultTableStyle="TableStyleMedium9" defaultPivotStyle="PivotStyleLight16"/>
  <colors>
    <mruColors>
      <color rgb="FFFFFF66"/>
      <color rgb="FFFFFF99"/>
      <color rgb="FF008000"/>
      <color rgb="FF99FF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2</xdr:row>
      <xdr:rowOff>47625</xdr:rowOff>
    </xdr:from>
    <xdr:to>
      <xdr:col>2</xdr:col>
      <xdr:colOff>219075</xdr:colOff>
      <xdr:row>4</xdr:row>
      <xdr:rowOff>152400</xdr:rowOff>
    </xdr:to>
    <xdr:pic>
      <xdr:nvPicPr>
        <xdr:cNvPr id="1262" name="Picture 2" descr="Blue Gold Logo 2.jpg">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1"/>
        <a:srcRect/>
        <a:stretch>
          <a:fillRect/>
        </a:stretch>
      </xdr:blipFill>
      <xdr:spPr bwMode="auto">
        <a:xfrm>
          <a:off x="114300" y="276225"/>
          <a:ext cx="1371600" cy="4857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3175</xdr:colOff>
      <xdr:row>68</xdr:row>
      <xdr:rowOff>0</xdr:rowOff>
    </xdr:from>
    <xdr:to>
      <xdr:col>7</xdr:col>
      <xdr:colOff>73025</xdr:colOff>
      <xdr:row>69</xdr:row>
      <xdr:rowOff>38100</xdr:rowOff>
    </xdr:to>
    <xdr:sp macro="" textlink="">
      <xdr:nvSpPr>
        <xdr:cNvPr id="20511" name="Text Box 3">
          <a:extLst>
            <a:ext uri="{FF2B5EF4-FFF2-40B4-BE49-F238E27FC236}">
              <a16:creationId xmlns:a16="http://schemas.microsoft.com/office/drawing/2014/main" id="{00000000-0008-0000-0400-00001F500000}"/>
            </a:ext>
          </a:extLst>
        </xdr:cNvPr>
        <xdr:cNvSpPr txBox="1">
          <a:spLocks noChangeArrowheads="1"/>
        </xdr:cNvSpPr>
      </xdr:nvSpPr>
      <xdr:spPr bwMode="auto">
        <a:xfrm>
          <a:off x="4225925" y="11017250"/>
          <a:ext cx="69850" cy="196850"/>
        </a:xfrm>
        <a:prstGeom prst="rect">
          <a:avLst/>
        </a:prstGeom>
        <a:noFill/>
        <a:ln w="9525">
          <a:noFill/>
          <a:miter lim="800000"/>
          <a:headEnd/>
          <a:tailEnd/>
        </a:ln>
      </xdr:spPr>
    </xdr:sp>
    <xdr:clientData/>
  </xdr:twoCellAnchor>
  <xdr:twoCellAnchor editAs="oneCell">
    <xdr:from>
      <xdr:col>0</xdr:col>
      <xdr:colOff>0</xdr:colOff>
      <xdr:row>87</xdr:row>
      <xdr:rowOff>0</xdr:rowOff>
    </xdr:from>
    <xdr:to>
      <xdr:col>0</xdr:col>
      <xdr:colOff>28575</xdr:colOff>
      <xdr:row>88</xdr:row>
      <xdr:rowOff>104775</xdr:rowOff>
    </xdr:to>
    <xdr:sp macro="" textlink="">
      <xdr:nvSpPr>
        <xdr:cNvPr id="20512" name="Text Box 4">
          <a:extLst>
            <a:ext uri="{FF2B5EF4-FFF2-40B4-BE49-F238E27FC236}">
              <a16:creationId xmlns:a16="http://schemas.microsoft.com/office/drawing/2014/main" id="{00000000-0008-0000-0400-000020500000}"/>
            </a:ext>
          </a:extLst>
        </xdr:cNvPr>
        <xdr:cNvSpPr txBox="1">
          <a:spLocks noChangeArrowheads="1"/>
        </xdr:cNvSpPr>
      </xdr:nvSpPr>
      <xdr:spPr bwMode="auto">
        <a:xfrm>
          <a:off x="0" y="8782050"/>
          <a:ext cx="28575" cy="104775"/>
        </a:xfrm>
        <a:prstGeom prst="rect">
          <a:avLst/>
        </a:prstGeom>
        <a:noFill/>
        <a:ln w="9525">
          <a:noFill/>
          <a:miter lim="800000"/>
          <a:headEnd/>
          <a:tailEnd/>
        </a:ln>
      </xdr:spPr>
    </xdr:sp>
    <xdr:clientData/>
  </xdr:twoCellAnchor>
  <xdr:oneCellAnchor>
    <xdr:from>
      <xdr:col>6</xdr:col>
      <xdr:colOff>590550</xdr:colOff>
      <xdr:row>90</xdr:row>
      <xdr:rowOff>0</xdr:rowOff>
    </xdr:from>
    <xdr:ext cx="76200" cy="200025"/>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4248150" y="1209675"/>
          <a:ext cx="76200" cy="200025"/>
        </a:xfrm>
        <a:prstGeom prst="rect">
          <a:avLst/>
        </a:prstGeom>
        <a:noFill/>
        <a:ln w="9525">
          <a:noFill/>
          <a:miter lim="800000"/>
          <a:headEnd/>
          <a:tailEnd/>
        </a:ln>
      </xdr:spPr>
    </xdr:sp>
    <xdr:clientData/>
  </xdr:oneCellAnchor>
  <xdr:oneCellAnchor>
    <xdr:from>
      <xdr:col>0</xdr:col>
      <xdr:colOff>0</xdr:colOff>
      <xdr:row>90</xdr:row>
      <xdr:rowOff>0</xdr:rowOff>
    </xdr:from>
    <xdr:ext cx="28575" cy="104775"/>
    <xdr:sp macro="" textlink="">
      <xdr:nvSpPr>
        <xdr:cNvPr id="8" name="Text Box 4">
          <a:extLst>
            <a:ext uri="{FF2B5EF4-FFF2-40B4-BE49-F238E27FC236}">
              <a16:creationId xmlns:a16="http://schemas.microsoft.com/office/drawing/2014/main" id="{00000000-0008-0000-0400-000008000000}"/>
            </a:ext>
          </a:extLst>
        </xdr:cNvPr>
        <xdr:cNvSpPr txBox="1">
          <a:spLocks noChangeArrowheads="1"/>
        </xdr:cNvSpPr>
      </xdr:nvSpPr>
      <xdr:spPr bwMode="auto">
        <a:xfrm>
          <a:off x="0" y="1209675"/>
          <a:ext cx="28575" cy="10477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590550</xdr:colOff>
      <xdr:row>229</xdr:row>
      <xdr:rowOff>0</xdr:rowOff>
    </xdr:from>
    <xdr:to>
      <xdr:col>7</xdr:col>
      <xdr:colOff>57150</xdr:colOff>
      <xdr:row>230</xdr:row>
      <xdr:rowOff>0</xdr:rowOff>
    </xdr:to>
    <xdr:sp macro="" textlink="">
      <xdr:nvSpPr>
        <xdr:cNvPr id="19747" name="Text Box 3">
          <a:extLst>
            <a:ext uri="{FF2B5EF4-FFF2-40B4-BE49-F238E27FC236}">
              <a16:creationId xmlns:a16="http://schemas.microsoft.com/office/drawing/2014/main" id="{00000000-0008-0000-0500-0000234D0000}"/>
            </a:ext>
          </a:extLst>
        </xdr:cNvPr>
        <xdr:cNvSpPr txBox="1">
          <a:spLocks noChangeArrowheads="1"/>
        </xdr:cNvSpPr>
      </xdr:nvSpPr>
      <xdr:spPr bwMode="auto">
        <a:xfrm>
          <a:off x="4257675" y="51711225"/>
          <a:ext cx="76200" cy="200025"/>
        </a:xfrm>
        <a:prstGeom prst="rect">
          <a:avLst/>
        </a:prstGeom>
        <a:noFill/>
        <a:ln w="9525">
          <a:noFill/>
          <a:miter lim="800000"/>
          <a:headEnd/>
          <a:tailEnd/>
        </a:ln>
      </xdr:spPr>
    </xdr:sp>
    <xdr:clientData/>
  </xdr:twoCellAnchor>
  <xdr:twoCellAnchor editAs="oneCell">
    <xdr:from>
      <xdr:col>0</xdr:col>
      <xdr:colOff>0</xdr:colOff>
      <xdr:row>229</xdr:row>
      <xdr:rowOff>0</xdr:rowOff>
    </xdr:from>
    <xdr:to>
      <xdr:col>0</xdr:col>
      <xdr:colOff>28575</xdr:colOff>
      <xdr:row>229</xdr:row>
      <xdr:rowOff>104775</xdr:rowOff>
    </xdr:to>
    <xdr:sp macro="" textlink="">
      <xdr:nvSpPr>
        <xdr:cNvPr id="19748" name="Text Box 4">
          <a:extLst>
            <a:ext uri="{FF2B5EF4-FFF2-40B4-BE49-F238E27FC236}">
              <a16:creationId xmlns:a16="http://schemas.microsoft.com/office/drawing/2014/main" id="{00000000-0008-0000-0500-0000244D0000}"/>
            </a:ext>
          </a:extLst>
        </xdr:cNvPr>
        <xdr:cNvSpPr txBox="1">
          <a:spLocks noChangeArrowheads="1"/>
        </xdr:cNvSpPr>
      </xdr:nvSpPr>
      <xdr:spPr bwMode="auto">
        <a:xfrm>
          <a:off x="0" y="51711225"/>
          <a:ext cx="28575" cy="104775"/>
        </a:xfrm>
        <a:prstGeom prst="rect">
          <a:avLst/>
        </a:prstGeom>
        <a:noFill/>
        <a:ln w="9525">
          <a:noFill/>
          <a:miter lim="800000"/>
          <a:headEnd/>
          <a:tailEnd/>
        </a:ln>
      </xdr:spPr>
    </xdr:sp>
    <xdr:clientData/>
  </xdr:twoCellAnchor>
  <xdr:twoCellAnchor editAs="oneCell">
    <xdr:from>
      <xdr:col>6</xdr:col>
      <xdr:colOff>590550</xdr:colOff>
      <xdr:row>229</xdr:row>
      <xdr:rowOff>0</xdr:rowOff>
    </xdr:from>
    <xdr:to>
      <xdr:col>7</xdr:col>
      <xdr:colOff>57150</xdr:colOff>
      <xdr:row>230</xdr:row>
      <xdr:rowOff>0</xdr:rowOff>
    </xdr:to>
    <xdr:sp macro="" textlink="">
      <xdr:nvSpPr>
        <xdr:cNvPr id="19749" name="Text Box 3">
          <a:extLst>
            <a:ext uri="{FF2B5EF4-FFF2-40B4-BE49-F238E27FC236}">
              <a16:creationId xmlns:a16="http://schemas.microsoft.com/office/drawing/2014/main" id="{00000000-0008-0000-0500-0000254D0000}"/>
            </a:ext>
          </a:extLst>
        </xdr:cNvPr>
        <xdr:cNvSpPr txBox="1">
          <a:spLocks noChangeArrowheads="1"/>
        </xdr:cNvSpPr>
      </xdr:nvSpPr>
      <xdr:spPr bwMode="auto">
        <a:xfrm>
          <a:off x="4257675" y="43281600"/>
          <a:ext cx="76200" cy="200025"/>
        </a:xfrm>
        <a:prstGeom prst="rect">
          <a:avLst/>
        </a:prstGeom>
        <a:noFill/>
        <a:ln w="9525">
          <a:noFill/>
          <a:miter lim="800000"/>
          <a:headEnd/>
          <a:tailEnd/>
        </a:ln>
      </xdr:spPr>
    </xdr:sp>
    <xdr:clientData/>
  </xdr:twoCellAnchor>
  <xdr:twoCellAnchor editAs="oneCell">
    <xdr:from>
      <xdr:col>0</xdr:col>
      <xdr:colOff>0</xdr:colOff>
      <xdr:row>229</xdr:row>
      <xdr:rowOff>0</xdr:rowOff>
    </xdr:from>
    <xdr:to>
      <xdr:col>0</xdr:col>
      <xdr:colOff>28575</xdr:colOff>
      <xdr:row>229</xdr:row>
      <xdr:rowOff>104775</xdr:rowOff>
    </xdr:to>
    <xdr:sp macro="" textlink="">
      <xdr:nvSpPr>
        <xdr:cNvPr id="19750" name="Text Box 4">
          <a:extLst>
            <a:ext uri="{FF2B5EF4-FFF2-40B4-BE49-F238E27FC236}">
              <a16:creationId xmlns:a16="http://schemas.microsoft.com/office/drawing/2014/main" id="{00000000-0008-0000-0500-0000264D0000}"/>
            </a:ext>
          </a:extLst>
        </xdr:cNvPr>
        <xdr:cNvSpPr txBox="1">
          <a:spLocks noChangeArrowheads="1"/>
        </xdr:cNvSpPr>
      </xdr:nvSpPr>
      <xdr:spPr bwMode="auto">
        <a:xfrm>
          <a:off x="0" y="43281600"/>
          <a:ext cx="28575" cy="104775"/>
        </a:xfrm>
        <a:prstGeom prst="rect">
          <a:avLst/>
        </a:prstGeom>
        <a:noFill/>
        <a:ln w="9525">
          <a:noFill/>
          <a:miter lim="800000"/>
          <a:headEnd/>
          <a:tailEnd/>
        </a:ln>
      </xdr:spPr>
    </xdr:sp>
    <xdr:clientData/>
  </xdr:twoCellAnchor>
  <xdr:twoCellAnchor editAs="oneCell">
    <xdr:from>
      <xdr:col>6</xdr:col>
      <xdr:colOff>590550</xdr:colOff>
      <xdr:row>229</xdr:row>
      <xdr:rowOff>0</xdr:rowOff>
    </xdr:from>
    <xdr:to>
      <xdr:col>7</xdr:col>
      <xdr:colOff>57150</xdr:colOff>
      <xdr:row>230</xdr:row>
      <xdr:rowOff>0</xdr:rowOff>
    </xdr:to>
    <xdr:sp macro="" textlink="">
      <xdr:nvSpPr>
        <xdr:cNvPr id="19751" name="Text Box 3">
          <a:extLst>
            <a:ext uri="{FF2B5EF4-FFF2-40B4-BE49-F238E27FC236}">
              <a16:creationId xmlns:a16="http://schemas.microsoft.com/office/drawing/2014/main" id="{00000000-0008-0000-0500-0000274D0000}"/>
            </a:ext>
          </a:extLst>
        </xdr:cNvPr>
        <xdr:cNvSpPr txBox="1">
          <a:spLocks noChangeArrowheads="1"/>
        </xdr:cNvSpPr>
      </xdr:nvSpPr>
      <xdr:spPr bwMode="auto">
        <a:xfrm>
          <a:off x="4257675" y="34794825"/>
          <a:ext cx="76200" cy="200025"/>
        </a:xfrm>
        <a:prstGeom prst="rect">
          <a:avLst/>
        </a:prstGeom>
        <a:noFill/>
        <a:ln w="9525">
          <a:noFill/>
          <a:miter lim="800000"/>
          <a:headEnd/>
          <a:tailEnd/>
        </a:ln>
      </xdr:spPr>
    </xdr:sp>
    <xdr:clientData/>
  </xdr:twoCellAnchor>
  <xdr:twoCellAnchor editAs="oneCell">
    <xdr:from>
      <xdr:col>1</xdr:col>
      <xdr:colOff>247650</xdr:colOff>
      <xdr:row>229</xdr:row>
      <xdr:rowOff>0</xdr:rowOff>
    </xdr:from>
    <xdr:to>
      <xdr:col>1</xdr:col>
      <xdr:colOff>276225</xdr:colOff>
      <xdr:row>229</xdr:row>
      <xdr:rowOff>104775</xdr:rowOff>
    </xdr:to>
    <xdr:sp macro="" textlink="">
      <xdr:nvSpPr>
        <xdr:cNvPr id="19752" name="Text Box 4">
          <a:extLst>
            <a:ext uri="{FF2B5EF4-FFF2-40B4-BE49-F238E27FC236}">
              <a16:creationId xmlns:a16="http://schemas.microsoft.com/office/drawing/2014/main" id="{00000000-0008-0000-0500-0000284D0000}"/>
            </a:ext>
          </a:extLst>
        </xdr:cNvPr>
        <xdr:cNvSpPr txBox="1">
          <a:spLocks noChangeArrowheads="1"/>
        </xdr:cNvSpPr>
      </xdr:nvSpPr>
      <xdr:spPr bwMode="auto">
        <a:xfrm>
          <a:off x="942975" y="34851975"/>
          <a:ext cx="28575" cy="104775"/>
        </a:xfrm>
        <a:prstGeom prst="rect">
          <a:avLst/>
        </a:prstGeom>
        <a:noFill/>
        <a:ln w="9525">
          <a:noFill/>
          <a:miter lim="800000"/>
          <a:headEnd/>
          <a:tailEnd/>
        </a:ln>
      </xdr:spPr>
    </xdr:sp>
    <xdr:clientData/>
  </xdr:twoCellAnchor>
  <xdr:twoCellAnchor editAs="oneCell">
    <xdr:from>
      <xdr:col>6</xdr:col>
      <xdr:colOff>590550</xdr:colOff>
      <xdr:row>177</xdr:row>
      <xdr:rowOff>0</xdr:rowOff>
    </xdr:from>
    <xdr:to>
      <xdr:col>7</xdr:col>
      <xdr:colOff>57150</xdr:colOff>
      <xdr:row>178</xdr:row>
      <xdr:rowOff>95250</xdr:rowOff>
    </xdr:to>
    <xdr:sp macro="" textlink="">
      <xdr:nvSpPr>
        <xdr:cNvPr id="19753" name="Text Box 3">
          <a:extLst>
            <a:ext uri="{FF2B5EF4-FFF2-40B4-BE49-F238E27FC236}">
              <a16:creationId xmlns:a16="http://schemas.microsoft.com/office/drawing/2014/main" id="{00000000-0008-0000-0500-0000294D0000}"/>
            </a:ext>
          </a:extLst>
        </xdr:cNvPr>
        <xdr:cNvSpPr txBox="1">
          <a:spLocks noChangeArrowheads="1"/>
        </xdr:cNvSpPr>
      </xdr:nvSpPr>
      <xdr:spPr bwMode="auto">
        <a:xfrm>
          <a:off x="4257675" y="26831925"/>
          <a:ext cx="76200" cy="200025"/>
        </a:xfrm>
        <a:prstGeom prst="rect">
          <a:avLst/>
        </a:prstGeom>
        <a:noFill/>
        <a:ln w="9525">
          <a:noFill/>
          <a:miter lim="800000"/>
          <a:headEnd/>
          <a:tailEnd/>
        </a:ln>
      </xdr:spPr>
    </xdr:sp>
    <xdr:clientData/>
  </xdr:twoCellAnchor>
  <xdr:twoCellAnchor editAs="oneCell">
    <xdr:from>
      <xdr:col>0</xdr:col>
      <xdr:colOff>0</xdr:colOff>
      <xdr:row>177</xdr:row>
      <xdr:rowOff>0</xdr:rowOff>
    </xdr:from>
    <xdr:to>
      <xdr:col>0</xdr:col>
      <xdr:colOff>28575</xdr:colOff>
      <xdr:row>178</xdr:row>
      <xdr:rowOff>3175</xdr:rowOff>
    </xdr:to>
    <xdr:sp macro="" textlink="">
      <xdr:nvSpPr>
        <xdr:cNvPr id="19754" name="Text Box 4">
          <a:extLst>
            <a:ext uri="{FF2B5EF4-FFF2-40B4-BE49-F238E27FC236}">
              <a16:creationId xmlns:a16="http://schemas.microsoft.com/office/drawing/2014/main" id="{00000000-0008-0000-0500-00002A4D0000}"/>
            </a:ext>
          </a:extLst>
        </xdr:cNvPr>
        <xdr:cNvSpPr txBox="1">
          <a:spLocks noChangeArrowheads="1"/>
        </xdr:cNvSpPr>
      </xdr:nvSpPr>
      <xdr:spPr bwMode="auto">
        <a:xfrm>
          <a:off x="0" y="26831925"/>
          <a:ext cx="28575" cy="104775"/>
        </a:xfrm>
        <a:prstGeom prst="rect">
          <a:avLst/>
        </a:prstGeom>
        <a:noFill/>
        <a:ln w="9525">
          <a:noFill/>
          <a:miter lim="800000"/>
          <a:headEnd/>
          <a:tailEnd/>
        </a:ln>
      </xdr:spPr>
    </xdr:sp>
    <xdr:clientData/>
  </xdr:twoCellAnchor>
  <xdr:twoCellAnchor editAs="oneCell">
    <xdr:from>
      <xdr:col>6</xdr:col>
      <xdr:colOff>590550</xdr:colOff>
      <xdr:row>176</xdr:row>
      <xdr:rowOff>0</xdr:rowOff>
    </xdr:from>
    <xdr:to>
      <xdr:col>7</xdr:col>
      <xdr:colOff>57150</xdr:colOff>
      <xdr:row>177</xdr:row>
      <xdr:rowOff>0</xdr:rowOff>
    </xdr:to>
    <xdr:sp macro="" textlink="">
      <xdr:nvSpPr>
        <xdr:cNvPr id="19755" name="Text Box 3">
          <a:extLst>
            <a:ext uri="{FF2B5EF4-FFF2-40B4-BE49-F238E27FC236}">
              <a16:creationId xmlns:a16="http://schemas.microsoft.com/office/drawing/2014/main" id="{00000000-0008-0000-0500-00002B4D0000}"/>
            </a:ext>
          </a:extLst>
        </xdr:cNvPr>
        <xdr:cNvSpPr txBox="1">
          <a:spLocks noChangeArrowheads="1"/>
        </xdr:cNvSpPr>
      </xdr:nvSpPr>
      <xdr:spPr bwMode="auto">
        <a:xfrm>
          <a:off x="4257675" y="26279475"/>
          <a:ext cx="76200" cy="200025"/>
        </a:xfrm>
        <a:prstGeom prst="rect">
          <a:avLst/>
        </a:prstGeom>
        <a:noFill/>
        <a:ln w="9525">
          <a:noFill/>
          <a:miter lim="800000"/>
          <a:headEnd/>
          <a:tailEnd/>
        </a:ln>
      </xdr:spPr>
    </xdr:sp>
    <xdr:clientData/>
  </xdr:twoCellAnchor>
  <xdr:twoCellAnchor editAs="oneCell">
    <xdr:from>
      <xdr:col>0</xdr:col>
      <xdr:colOff>0</xdr:colOff>
      <xdr:row>176</xdr:row>
      <xdr:rowOff>0</xdr:rowOff>
    </xdr:from>
    <xdr:to>
      <xdr:col>0</xdr:col>
      <xdr:colOff>28575</xdr:colOff>
      <xdr:row>176</xdr:row>
      <xdr:rowOff>104775</xdr:rowOff>
    </xdr:to>
    <xdr:sp macro="" textlink="">
      <xdr:nvSpPr>
        <xdr:cNvPr id="19756" name="Text Box 4">
          <a:extLst>
            <a:ext uri="{FF2B5EF4-FFF2-40B4-BE49-F238E27FC236}">
              <a16:creationId xmlns:a16="http://schemas.microsoft.com/office/drawing/2014/main" id="{00000000-0008-0000-0500-00002C4D0000}"/>
            </a:ext>
          </a:extLst>
        </xdr:cNvPr>
        <xdr:cNvSpPr txBox="1">
          <a:spLocks noChangeArrowheads="1"/>
        </xdr:cNvSpPr>
      </xdr:nvSpPr>
      <xdr:spPr bwMode="auto">
        <a:xfrm>
          <a:off x="0" y="26279475"/>
          <a:ext cx="28575" cy="104775"/>
        </a:xfrm>
        <a:prstGeom prst="rect">
          <a:avLst/>
        </a:prstGeom>
        <a:noFill/>
        <a:ln w="9525">
          <a:noFill/>
          <a:miter lim="800000"/>
          <a:headEnd/>
          <a:tailEnd/>
        </a:ln>
      </xdr:spPr>
    </xdr:sp>
    <xdr:clientData/>
  </xdr:twoCellAnchor>
  <xdr:oneCellAnchor>
    <xdr:from>
      <xdr:col>6</xdr:col>
      <xdr:colOff>590550</xdr:colOff>
      <xdr:row>229</xdr:row>
      <xdr:rowOff>0</xdr:rowOff>
    </xdr:from>
    <xdr:ext cx="76200" cy="200025"/>
    <xdr:sp macro="" textlink="">
      <xdr:nvSpPr>
        <xdr:cNvPr id="13" name="Text Box 3">
          <a:extLst>
            <a:ext uri="{FF2B5EF4-FFF2-40B4-BE49-F238E27FC236}">
              <a16:creationId xmlns:a16="http://schemas.microsoft.com/office/drawing/2014/main" id="{00000000-0008-0000-0500-00000D000000}"/>
            </a:ext>
          </a:extLst>
        </xdr:cNvPr>
        <xdr:cNvSpPr txBox="1">
          <a:spLocks noChangeArrowheads="1"/>
        </xdr:cNvSpPr>
      </xdr:nvSpPr>
      <xdr:spPr bwMode="auto">
        <a:xfrm>
          <a:off x="4257675" y="355092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29" name="Text Box 3">
          <a:extLst>
            <a:ext uri="{FF2B5EF4-FFF2-40B4-BE49-F238E27FC236}">
              <a16:creationId xmlns:a16="http://schemas.microsoft.com/office/drawing/2014/main" id="{00000000-0008-0000-0500-00001D000000}"/>
            </a:ext>
          </a:extLst>
        </xdr:cNvPr>
        <xdr:cNvSpPr txBox="1">
          <a:spLocks noChangeArrowheads="1"/>
        </xdr:cNvSpPr>
      </xdr:nvSpPr>
      <xdr:spPr bwMode="auto">
        <a:xfrm>
          <a:off x="4257675" y="488061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30" name="Text Box 4">
          <a:extLst>
            <a:ext uri="{FF2B5EF4-FFF2-40B4-BE49-F238E27FC236}">
              <a16:creationId xmlns:a16="http://schemas.microsoft.com/office/drawing/2014/main" id="{00000000-0008-0000-0500-00001E000000}"/>
            </a:ext>
          </a:extLst>
        </xdr:cNvPr>
        <xdr:cNvSpPr txBox="1">
          <a:spLocks noChangeArrowheads="1"/>
        </xdr:cNvSpPr>
      </xdr:nvSpPr>
      <xdr:spPr bwMode="auto">
        <a:xfrm>
          <a:off x="0" y="488061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31" name="Text Box 3">
          <a:extLst>
            <a:ext uri="{FF2B5EF4-FFF2-40B4-BE49-F238E27FC236}">
              <a16:creationId xmlns:a16="http://schemas.microsoft.com/office/drawing/2014/main" id="{00000000-0008-0000-0500-00001F000000}"/>
            </a:ext>
          </a:extLst>
        </xdr:cNvPr>
        <xdr:cNvSpPr txBox="1">
          <a:spLocks noChangeArrowheads="1"/>
        </xdr:cNvSpPr>
      </xdr:nvSpPr>
      <xdr:spPr bwMode="auto">
        <a:xfrm>
          <a:off x="4257675" y="449389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32" name="Text Box 3">
          <a:extLst>
            <a:ext uri="{FF2B5EF4-FFF2-40B4-BE49-F238E27FC236}">
              <a16:creationId xmlns:a16="http://schemas.microsoft.com/office/drawing/2014/main" id="{00000000-0008-0000-0500-000020000000}"/>
            </a:ext>
          </a:extLst>
        </xdr:cNvPr>
        <xdr:cNvSpPr txBox="1">
          <a:spLocks noChangeArrowheads="1"/>
        </xdr:cNvSpPr>
      </xdr:nvSpPr>
      <xdr:spPr bwMode="auto">
        <a:xfrm>
          <a:off x="4257675" y="449389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bwMode="auto">
        <a:xfrm>
          <a:off x="4257675" y="502729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26" name="Text Box 4">
          <a:extLst>
            <a:ext uri="{FF2B5EF4-FFF2-40B4-BE49-F238E27FC236}">
              <a16:creationId xmlns:a16="http://schemas.microsoft.com/office/drawing/2014/main" id="{00000000-0008-0000-0500-00001A000000}"/>
            </a:ext>
          </a:extLst>
        </xdr:cNvPr>
        <xdr:cNvSpPr txBox="1">
          <a:spLocks noChangeArrowheads="1"/>
        </xdr:cNvSpPr>
      </xdr:nvSpPr>
      <xdr:spPr bwMode="auto">
        <a:xfrm>
          <a:off x="0" y="502729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27" name="Text Box 3">
          <a:extLst>
            <a:ext uri="{FF2B5EF4-FFF2-40B4-BE49-F238E27FC236}">
              <a16:creationId xmlns:a16="http://schemas.microsoft.com/office/drawing/2014/main" id="{00000000-0008-0000-0500-00001B000000}"/>
            </a:ext>
          </a:extLst>
        </xdr:cNvPr>
        <xdr:cNvSpPr txBox="1">
          <a:spLocks noChangeArrowheads="1"/>
        </xdr:cNvSpPr>
      </xdr:nvSpPr>
      <xdr:spPr bwMode="auto">
        <a:xfrm>
          <a:off x="4257675" y="4621530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28" name="Text Box 4">
          <a:extLst>
            <a:ext uri="{FF2B5EF4-FFF2-40B4-BE49-F238E27FC236}">
              <a16:creationId xmlns:a16="http://schemas.microsoft.com/office/drawing/2014/main" id="{00000000-0008-0000-0500-00001C000000}"/>
            </a:ext>
          </a:extLst>
        </xdr:cNvPr>
        <xdr:cNvSpPr txBox="1">
          <a:spLocks noChangeArrowheads="1"/>
        </xdr:cNvSpPr>
      </xdr:nvSpPr>
      <xdr:spPr bwMode="auto">
        <a:xfrm>
          <a:off x="0" y="462153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33" name="Text Box 3">
          <a:extLst>
            <a:ext uri="{FF2B5EF4-FFF2-40B4-BE49-F238E27FC236}">
              <a16:creationId xmlns:a16="http://schemas.microsoft.com/office/drawing/2014/main" id="{00000000-0008-0000-0500-000021000000}"/>
            </a:ext>
          </a:extLst>
        </xdr:cNvPr>
        <xdr:cNvSpPr txBox="1">
          <a:spLocks noChangeArrowheads="1"/>
        </xdr:cNvSpPr>
      </xdr:nvSpPr>
      <xdr:spPr bwMode="auto">
        <a:xfrm>
          <a:off x="4257675" y="462153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3" name="Text Box 3">
          <a:extLst>
            <a:ext uri="{FF2B5EF4-FFF2-40B4-BE49-F238E27FC236}">
              <a16:creationId xmlns:a16="http://schemas.microsoft.com/office/drawing/2014/main" id="{00000000-0008-0000-0500-00002B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44" name="Text Box 4">
          <a:extLst>
            <a:ext uri="{FF2B5EF4-FFF2-40B4-BE49-F238E27FC236}">
              <a16:creationId xmlns:a16="http://schemas.microsoft.com/office/drawing/2014/main" id="{00000000-0008-0000-0500-00002C000000}"/>
            </a:ext>
          </a:extLst>
        </xdr:cNvPr>
        <xdr:cNvSpPr txBox="1">
          <a:spLocks noChangeArrowheads="1"/>
        </xdr:cNvSpPr>
      </xdr:nvSpPr>
      <xdr:spPr bwMode="auto">
        <a:xfrm>
          <a:off x="0" y="555688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5" name="Text Box 3">
          <a:extLst>
            <a:ext uri="{FF2B5EF4-FFF2-40B4-BE49-F238E27FC236}">
              <a16:creationId xmlns:a16="http://schemas.microsoft.com/office/drawing/2014/main" id="{00000000-0008-0000-0500-00002D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7" name="Text Box 3">
          <a:extLst>
            <a:ext uri="{FF2B5EF4-FFF2-40B4-BE49-F238E27FC236}">
              <a16:creationId xmlns:a16="http://schemas.microsoft.com/office/drawing/2014/main" id="{00000000-0008-0000-0500-00002F000000}"/>
            </a:ext>
          </a:extLst>
        </xdr:cNvPr>
        <xdr:cNvSpPr txBox="1">
          <a:spLocks noChangeArrowheads="1"/>
        </xdr:cNvSpPr>
      </xdr:nvSpPr>
      <xdr:spPr bwMode="auto">
        <a:xfrm>
          <a:off x="4257675" y="587121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48" name="Text Box 4">
          <a:extLst>
            <a:ext uri="{FF2B5EF4-FFF2-40B4-BE49-F238E27FC236}">
              <a16:creationId xmlns:a16="http://schemas.microsoft.com/office/drawing/2014/main" id="{00000000-0008-0000-0500-000030000000}"/>
            </a:ext>
          </a:extLst>
        </xdr:cNvPr>
        <xdr:cNvSpPr txBox="1">
          <a:spLocks noChangeArrowheads="1"/>
        </xdr:cNvSpPr>
      </xdr:nvSpPr>
      <xdr:spPr bwMode="auto">
        <a:xfrm>
          <a:off x="0" y="587121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49" name="Text Box 3">
          <a:extLst>
            <a:ext uri="{FF2B5EF4-FFF2-40B4-BE49-F238E27FC236}">
              <a16:creationId xmlns:a16="http://schemas.microsoft.com/office/drawing/2014/main" id="{00000000-0008-0000-0500-000031000000}"/>
            </a:ext>
          </a:extLst>
        </xdr:cNvPr>
        <xdr:cNvSpPr txBox="1">
          <a:spLocks noChangeArrowheads="1"/>
        </xdr:cNvSpPr>
      </xdr:nvSpPr>
      <xdr:spPr bwMode="auto">
        <a:xfrm>
          <a:off x="4257675" y="5556885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50" name="Text Box 4">
          <a:extLst>
            <a:ext uri="{FF2B5EF4-FFF2-40B4-BE49-F238E27FC236}">
              <a16:creationId xmlns:a16="http://schemas.microsoft.com/office/drawing/2014/main" id="{00000000-0008-0000-0500-000032000000}"/>
            </a:ext>
          </a:extLst>
        </xdr:cNvPr>
        <xdr:cNvSpPr txBox="1">
          <a:spLocks noChangeArrowheads="1"/>
        </xdr:cNvSpPr>
      </xdr:nvSpPr>
      <xdr:spPr bwMode="auto">
        <a:xfrm>
          <a:off x="0" y="555688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51" name="Text Box 3">
          <a:extLst>
            <a:ext uri="{FF2B5EF4-FFF2-40B4-BE49-F238E27FC236}">
              <a16:creationId xmlns:a16="http://schemas.microsoft.com/office/drawing/2014/main" id="{00000000-0008-0000-0500-000033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1" name="Text Box 3">
          <a:extLst>
            <a:ext uri="{FF2B5EF4-FFF2-40B4-BE49-F238E27FC236}">
              <a16:creationId xmlns:a16="http://schemas.microsoft.com/office/drawing/2014/main" id="{00000000-0008-0000-0500-00003D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62" name="Text Box 4">
          <a:extLst>
            <a:ext uri="{FF2B5EF4-FFF2-40B4-BE49-F238E27FC236}">
              <a16:creationId xmlns:a16="http://schemas.microsoft.com/office/drawing/2014/main" id="{00000000-0008-0000-0500-00003E000000}"/>
            </a:ext>
          </a:extLst>
        </xdr:cNvPr>
        <xdr:cNvSpPr txBox="1">
          <a:spLocks noChangeArrowheads="1"/>
        </xdr:cNvSpPr>
      </xdr:nvSpPr>
      <xdr:spPr bwMode="auto">
        <a:xfrm>
          <a:off x="0" y="6502717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3" name="Text Box 3">
          <a:extLst>
            <a:ext uri="{FF2B5EF4-FFF2-40B4-BE49-F238E27FC236}">
              <a16:creationId xmlns:a16="http://schemas.microsoft.com/office/drawing/2014/main" id="{00000000-0008-0000-0500-00003F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4" name="Text Box 3">
          <a:extLst>
            <a:ext uri="{FF2B5EF4-FFF2-40B4-BE49-F238E27FC236}">
              <a16:creationId xmlns:a16="http://schemas.microsoft.com/office/drawing/2014/main" id="{00000000-0008-0000-0500-000040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5" name="Text Box 3">
          <a:extLst>
            <a:ext uri="{FF2B5EF4-FFF2-40B4-BE49-F238E27FC236}">
              <a16:creationId xmlns:a16="http://schemas.microsoft.com/office/drawing/2014/main" id="{00000000-0008-0000-0500-000041000000}"/>
            </a:ext>
          </a:extLst>
        </xdr:cNvPr>
        <xdr:cNvSpPr txBox="1">
          <a:spLocks noChangeArrowheads="1"/>
        </xdr:cNvSpPr>
      </xdr:nvSpPr>
      <xdr:spPr bwMode="auto">
        <a:xfrm>
          <a:off x="4257675" y="6817042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66" name="Text Box 4">
          <a:extLst>
            <a:ext uri="{FF2B5EF4-FFF2-40B4-BE49-F238E27FC236}">
              <a16:creationId xmlns:a16="http://schemas.microsoft.com/office/drawing/2014/main" id="{00000000-0008-0000-0500-000042000000}"/>
            </a:ext>
          </a:extLst>
        </xdr:cNvPr>
        <xdr:cNvSpPr txBox="1">
          <a:spLocks noChangeArrowheads="1"/>
        </xdr:cNvSpPr>
      </xdr:nvSpPr>
      <xdr:spPr bwMode="auto">
        <a:xfrm>
          <a:off x="0" y="6817042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67" name="Text Box 3">
          <a:extLst>
            <a:ext uri="{FF2B5EF4-FFF2-40B4-BE49-F238E27FC236}">
              <a16:creationId xmlns:a16="http://schemas.microsoft.com/office/drawing/2014/main" id="{00000000-0008-0000-0500-000043000000}"/>
            </a:ext>
          </a:extLst>
        </xdr:cNvPr>
        <xdr:cNvSpPr txBox="1">
          <a:spLocks noChangeArrowheads="1"/>
        </xdr:cNvSpPr>
      </xdr:nvSpPr>
      <xdr:spPr bwMode="auto">
        <a:xfrm>
          <a:off x="4257675" y="65027175"/>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68" name="Text Box 4">
          <a:extLst>
            <a:ext uri="{FF2B5EF4-FFF2-40B4-BE49-F238E27FC236}">
              <a16:creationId xmlns:a16="http://schemas.microsoft.com/office/drawing/2014/main" id="{00000000-0008-0000-0500-000044000000}"/>
            </a:ext>
          </a:extLst>
        </xdr:cNvPr>
        <xdr:cNvSpPr txBox="1">
          <a:spLocks noChangeArrowheads="1"/>
        </xdr:cNvSpPr>
      </xdr:nvSpPr>
      <xdr:spPr bwMode="auto">
        <a:xfrm>
          <a:off x="0" y="6502717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9" name="Text Box 3">
          <a:extLst>
            <a:ext uri="{FF2B5EF4-FFF2-40B4-BE49-F238E27FC236}">
              <a16:creationId xmlns:a16="http://schemas.microsoft.com/office/drawing/2014/main" id="{00000000-0008-0000-0500-000045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79" name="Text Box 3">
          <a:extLst>
            <a:ext uri="{FF2B5EF4-FFF2-40B4-BE49-F238E27FC236}">
              <a16:creationId xmlns:a16="http://schemas.microsoft.com/office/drawing/2014/main" id="{00000000-0008-0000-0500-00004F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0" name="Text Box 4">
          <a:extLst>
            <a:ext uri="{FF2B5EF4-FFF2-40B4-BE49-F238E27FC236}">
              <a16:creationId xmlns:a16="http://schemas.microsoft.com/office/drawing/2014/main" id="{00000000-0008-0000-0500-000050000000}"/>
            </a:ext>
          </a:extLst>
        </xdr:cNvPr>
        <xdr:cNvSpPr txBox="1">
          <a:spLocks noChangeArrowheads="1"/>
        </xdr:cNvSpPr>
      </xdr:nvSpPr>
      <xdr:spPr bwMode="auto">
        <a:xfrm>
          <a:off x="0" y="744855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1" name="Text Box 3">
          <a:extLst>
            <a:ext uri="{FF2B5EF4-FFF2-40B4-BE49-F238E27FC236}">
              <a16:creationId xmlns:a16="http://schemas.microsoft.com/office/drawing/2014/main" id="{00000000-0008-0000-0500-000051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2" name="Text Box 3">
          <a:extLst>
            <a:ext uri="{FF2B5EF4-FFF2-40B4-BE49-F238E27FC236}">
              <a16:creationId xmlns:a16="http://schemas.microsoft.com/office/drawing/2014/main" id="{00000000-0008-0000-0500-000052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3" name="Text Box 3">
          <a:extLst>
            <a:ext uri="{FF2B5EF4-FFF2-40B4-BE49-F238E27FC236}">
              <a16:creationId xmlns:a16="http://schemas.microsoft.com/office/drawing/2014/main" id="{00000000-0008-0000-0500-000053000000}"/>
            </a:ext>
          </a:extLst>
        </xdr:cNvPr>
        <xdr:cNvSpPr txBox="1">
          <a:spLocks noChangeArrowheads="1"/>
        </xdr:cNvSpPr>
      </xdr:nvSpPr>
      <xdr:spPr bwMode="auto">
        <a:xfrm>
          <a:off x="4257675" y="776287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4" name="Text Box 4">
          <a:extLst>
            <a:ext uri="{FF2B5EF4-FFF2-40B4-BE49-F238E27FC236}">
              <a16:creationId xmlns:a16="http://schemas.microsoft.com/office/drawing/2014/main" id="{00000000-0008-0000-0500-000054000000}"/>
            </a:ext>
          </a:extLst>
        </xdr:cNvPr>
        <xdr:cNvSpPr txBox="1">
          <a:spLocks noChangeArrowheads="1"/>
        </xdr:cNvSpPr>
      </xdr:nvSpPr>
      <xdr:spPr bwMode="auto">
        <a:xfrm>
          <a:off x="0" y="776287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85" name="Text Box 3">
          <a:extLst>
            <a:ext uri="{FF2B5EF4-FFF2-40B4-BE49-F238E27FC236}">
              <a16:creationId xmlns:a16="http://schemas.microsoft.com/office/drawing/2014/main" id="{00000000-0008-0000-0500-000055000000}"/>
            </a:ext>
          </a:extLst>
        </xdr:cNvPr>
        <xdr:cNvSpPr txBox="1">
          <a:spLocks noChangeArrowheads="1"/>
        </xdr:cNvSpPr>
      </xdr:nvSpPr>
      <xdr:spPr bwMode="auto">
        <a:xfrm>
          <a:off x="4257675" y="7448550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6" name="Text Box 4">
          <a:extLst>
            <a:ext uri="{FF2B5EF4-FFF2-40B4-BE49-F238E27FC236}">
              <a16:creationId xmlns:a16="http://schemas.microsoft.com/office/drawing/2014/main" id="{00000000-0008-0000-0500-000056000000}"/>
            </a:ext>
          </a:extLst>
        </xdr:cNvPr>
        <xdr:cNvSpPr txBox="1">
          <a:spLocks noChangeArrowheads="1"/>
        </xdr:cNvSpPr>
      </xdr:nvSpPr>
      <xdr:spPr bwMode="auto">
        <a:xfrm>
          <a:off x="0" y="744855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7" name="Text Box 3">
          <a:extLst>
            <a:ext uri="{FF2B5EF4-FFF2-40B4-BE49-F238E27FC236}">
              <a16:creationId xmlns:a16="http://schemas.microsoft.com/office/drawing/2014/main" id="{00000000-0008-0000-0500-000057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8" name="Text Box 3">
          <a:extLst>
            <a:ext uri="{FF2B5EF4-FFF2-40B4-BE49-F238E27FC236}">
              <a16:creationId xmlns:a16="http://schemas.microsoft.com/office/drawing/2014/main" id="{00000000-0008-0000-0500-000058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9" name="Text Box 4">
          <a:extLst>
            <a:ext uri="{FF2B5EF4-FFF2-40B4-BE49-F238E27FC236}">
              <a16:creationId xmlns:a16="http://schemas.microsoft.com/office/drawing/2014/main" id="{00000000-0008-0000-0500-000059000000}"/>
            </a:ext>
          </a:extLst>
        </xdr:cNvPr>
        <xdr:cNvSpPr txBox="1">
          <a:spLocks noChangeArrowheads="1"/>
        </xdr:cNvSpPr>
      </xdr:nvSpPr>
      <xdr:spPr bwMode="auto">
        <a:xfrm>
          <a:off x="0" y="8394382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0" name="Text Box 3">
          <a:extLst>
            <a:ext uri="{FF2B5EF4-FFF2-40B4-BE49-F238E27FC236}">
              <a16:creationId xmlns:a16="http://schemas.microsoft.com/office/drawing/2014/main" id="{00000000-0008-0000-0500-00005A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1" name="Text Box 3">
          <a:extLst>
            <a:ext uri="{FF2B5EF4-FFF2-40B4-BE49-F238E27FC236}">
              <a16:creationId xmlns:a16="http://schemas.microsoft.com/office/drawing/2014/main" id="{00000000-0008-0000-0500-00005B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2" name="Text Box 3">
          <a:extLst>
            <a:ext uri="{FF2B5EF4-FFF2-40B4-BE49-F238E27FC236}">
              <a16:creationId xmlns:a16="http://schemas.microsoft.com/office/drawing/2014/main" id="{00000000-0008-0000-0500-00005C000000}"/>
            </a:ext>
          </a:extLst>
        </xdr:cNvPr>
        <xdr:cNvSpPr txBox="1">
          <a:spLocks noChangeArrowheads="1"/>
        </xdr:cNvSpPr>
      </xdr:nvSpPr>
      <xdr:spPr bwMode="auto">
        <a:xfrm>
          <a:off x="4257675" y="8708707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93" name="Text Box 4">
          <a:extLst>
            <a:ext uri="{FF2B5EF4-FFF2-40B4-BE49-F238E27FC236}">
              <a16:creationId xmlns:a16="http://schemas.microsoft.com/office/drawing/2014/main" id="{00000000-0008-0000-0500-00005D000000}"/>
            </a:ext>
          </a:extLst>
        </xdr:cNvPr>
        <xdr:cNvSpPr txBox="1">
          <a:spLocks noChangeArrowheads="1"/>
        </xdr:cNvSpPr>
      </xdr:nvSpPr>
      <xdr:spPr bwMode="auto">
        <a:xfrm>
          <a:off x="0" y="8708707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94" name="Text Box 3">
          <a:extLst>
            <a:ext uri="{FF2B5EF4-FFF2-40B4-BE49-F238E27FC236}">
              <a16:creationId xmlns:a16="http://schemas.microsoft.com/office/drawing/2014/main" id="{00000000-0008-0000-0500-00005E000000}"/>
            </a:ext>
          </a:extLst>
        </xdr:cNvPr>
        <xdr:cNvSpPr txBox="1">
          <a:spLocks noChangeArrowheads="1"/>
        </xdr:cNvSpPr>
      </xdr:nvSpPr>
      <xdr:spPr bwMode="auto">
        <a:xfrm>
          <a:off x="4257675" y="83943825"/>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95" name="Text Box 4">
          <a:extLst>
            <a:ext uri="{FF2B5EF4-FFF2-40B4-BE49-F238E27FC236}">
              <a16:creationId xmlns:a16="http://schemas.microsoft.com/office/drawing/2014/main" id="{00000000-0008-0000-0500-00005F000000}"/>
            </a:ext>
          </a:extLst>
        </xdr:cNvPr>
        <xdr:cNvSpPr txBox="1">
          <a:spLocks noChangeArrowheads="1"/>
        </xdr:cNvSpPr>
      </xdr:nvSpPr>
      <xdr:spPr bwMode="auto">
        <a:xfrm>
          <a:off x="0" y="8394382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6" name="Text Box 3">
          <a:extLst>
            <a:ext uri="{FF2B5EF4-FFF2-40B4-BE49-F238E27FC236}">
              <a16:creationId xmlns:a16="http://schemas.microsoft.com/office/drawing/2014/main" id="{00000000-0008-0000-0500-000060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7" name="Text Box 3">
          <a:extLst>
            <a:ext uri="{FF2B5EF4-FFF2-40B4-BE49-F238E27FC236}">
              <a16:creationId xmlns:a16="http://schemas.microsoft.com/office/drawing/2014/main" id="{00000000-0008-0000-0500-000061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98" name="Text Box 4">
          <a:extLst>
            <a:ext uri="{FF2B5EF4-FFF2-40B4-BE49-F238E27FC236}">
              <a16:creationId xmlns:a16="http://schemas.microsoft.com/office/drawing/2014/main" id="{00000000-0008-0000-0500-000062000000}"/>
            </a:ext>
          </a:extLst>
        </xdr:cNvPr>
        <xdr:cNvSpPr txBox="1">
          <a:spLocks noChangeArrowheads="1"/>
        </xdr:cNvSpPr>
      </xdr:nvSpPr>
      <xdr:spPr bwMode="auto">
        <a:xfrm>
          <a:off x="0" y="934021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9" name="Text Box 3">
          <a:extLst>
            <a:ext uri="{FF2B5EF4-FFF2-40B4-BE49-F238E27FC236}">
              <a16:creationId xmlns:a16="http://schemas.microsoft.com/office/drawing/2014/main" id="{00000000-0008-0000-0500-000063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100" name="Text Box 3">
          <a:extLst>
            <a:ext uri="{FF2B5EF4-FFF2-40B4-BE49-F238E27FC236}">
              <a16:creationId xmlns:a16="http://schemas.microsoft.com/office/drawing/2014/main" id="{00000000-0008-0000-0500-000064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101" name="Text Box 3">
          <a:extLst>
            <a:ext uri="{FF2B5EF4-FFF2-40B4-BE49-F238E27FC236}">
              <a16:creationId xmlns:a16="http://schemas.microsoft.com/office/drawing/2014/main" id="{00000000-0008-0000-0500-000065000000}"/>
            </a:ext>
          </a:extLst>
        </xdr:cNvPr>
        <xdr:cNvSpPr txBox="1">
          <a:spLocks noChangeArrowheads="1"/>
        </xdr:cNvSpPr>
      </xdr:nvSpPr>
      <xdr:spPr bwMode="auto">
        <a:xfrm>
          <a:off x="4257675" y="965454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102" name="Text Box 4">
          <a:extLst>
            <a:ext uri="{FF2B5EF4-FFF2-40B4-BE49-F238E27FC236}">
              <a16:creationId xmlns:a16="http://schemas.microsoft.com/office/drawing/2014/main" id="{00000000-0008-0000-0500-000066000000}"/>
            </a:ext>
          </a:extLst>
        </xdr:cNvPr>
        <xdr:cNvSpPr txBox="1">
          <a:spLocks noChangeArrowheads="1"/>
        </xdr:cNvSpPr>
      </xdr:nvSpPr>
      <xdr:spPr bwMode="auto">
        <a:xfrm>
          <a:off x="0" y="965454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103" name="Text Box 3">
          <a:extLst>
            <a:ext uri="{FF2B5EF4-FFF2-40B4-BE49-F238E27FC236}">
              <a16:creationId xmlns:a16="http://schemas.microsoft.com/office/drawing/2014/main" id="{00000000-0008-0000-0500-000067000000}"/>
            </a:ext>
          </a:extLst>
        </xdr:cNvPr>
        <xdr:cNvSpPr txBox="1">
          <a:spLocks noChangeArrowheads="1"/>
        </xdr:cNvSpPr>
      </xdr:nvSpPr>
      <xdr:spPr bwMode="auto">
        <a:xfrm>
          <a:off x="4257675" y="9340215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104" name="Text Box 4">
          <a:extLst>
            <a:ext uri="{FF2B5EF4-FFF2-40B4-BE49-F238E27FC236}">
              <a16:creationId xmlns:a16="http://schemas.microsoft.com/office/drawing/2014/main" id="{00000000-0008-0000-0500-000068000000}"/>
            </a:ext>
          </a:extLst>
        </xdr:cNvPr>
        <xdr:cNvSpPr txBox="1">
          <a:spLocks noChangeArrowheads="1"/>
        </xdr:cNvSpPr>
      </xdr:nvSpPr>
      <xdr:spPr bwMode="auto">
        <a:xfrm>
          <a:off x="0" y="934021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105" name="Text Box 3">
          <a:extLst>
            <a:ext uri="{FF2B5EF4-FFF2-40B4-BE49-F238E27FC236}">
              <a16:creationId xmlns:a16="http://schemas.microsoft.com/office/drawing/2014/main" id="{00000000-0008-0000-0500-000069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6</xdr:col>
      <xdr:colOff>590550</xdr:colOff>
      <xdr:row>230</xdr:row>
      <xdr:rowOff>0</xdr:rowOff>
    </xdr:from>
    <xdr:ext cx="76200" cy="200025"/>
    <xdr:sp macro="" textlink="">
      <xdr:nvSpPr>
        <xdr:cNvPr id="74" name="Text Box 3">
          <a:extLst>
            <a:ext uri="{FF2B5EF4-FFF2-40B4-BE49-F238E27FC236}">
              <a16:creationId xmlns:a16="http://schemas.microsoft.com/office/drawing/2014/main" id="{00000000-0008-0000-0500-00004A000000}"/>
            </a:ext>
          </a:extLst>
        </xdr:cNvPr>
        <xdr:cNvSpPr txBox="1">
          <a:spLocks noChangeArrowheads="1"/>
        </xdr:cNvSpPr>
      </xdr:nvSpPr>
      <xdr:spPr bwMode="auto">
        <a:xfrm>
          <a:off x="4257675" y="27908250"/>
          <a:ext cx="76200" cy="200025"/>
        </a:xfrm>
        <a:prstGeom prst="rect">
          <a:avLst/>
        </a:prstGeom>
        <a:noFill/>
        <a:ln w="9525">
          <a:noFill/>
          <a:miter lim="800000"/>
          <a:headEnd/>
          <a:tailEnd/>
        </a:ln>
      </xdr:spPr>
    </xdr:sp>
    <xdr:clientData/>
  </xdr:oneCellAnchor>
  <xdr:oneCellAnchor>
    <xdr:from>
      <xdr:col>0</xdr:col>
      <xdr:colOff>0</xdr:colOff>
      <xdr:row>230</xdr:row>
      <xdr:rowOff>0</xdr:rowOff>
    </xdr:from>
    <xdr:ext cx="28575" cy="104775"/>
    <xdr:sp macro="" textlink="">
      <xdr:nvSpPr>
        <xdr:cNvPr id="75" name="Text Box 4">
          <a:extLst>
            <a:ext uri="{FF2B5EF4-FFF2-40B4-BE49-F238E27FC236}">
              <a16:creationId xmlns:a16="http://schemas.microsoft.com/office/drawing/2014/main" id="{00000000-0008-0000-0500-00004B000000}"/>
            </a:ext>
          </a:extLst>
        </xdr:cNvPr>
        <xdr:cNvSpPr txBox="1">
          <a:spLocks noChangeArrowheads="1"/>
        </xdr:cNvSpPr>
      </xdr:nvSpPr>
      <xdr:spPr bwMode="auto">
        <a:xfrm>
          <a:off x="0" y="279082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76" name="Text Box 3">
          <a:extLst>
            <a:ext uri="{FF2B5EF4-FFF2-40B4-BE49-F238E27FC236}">
              <a16:creationId xmlns:a16="http://schemas.microsoft.com/office/drawing/2014/main" id="{00000000-0008-0000-0500-00004C000000}"/>
            </a:ext>
          </a:extLst>
        </xdr:cNvPr>
        <xdr:cNvSpPr txBox="1">
          <a:spLocks noChangeArrowheads="1"/>
        </xdr:cNvSpPr>
      </xdr:nvSpPr>
      <xdr:spPr bwMode="auto">
        <a:xfrm>
          <a:off x="4257675" y="27708225"/>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77" name="Text Box 4">
          <a:extLst>
            <a:ext uri="{FF2B5EF4-FFF2-40B4-BE49-F238E27FC236}">
              <a16:creationId xmlns:a16="http://schemas.microsoft.com/office/drawing/2014/main" id="{00000000-0008-0000-0500-00004D000000}"/>
            </a:ext>
          </a:extLst>
        </xdr:cNvPr>
        <xdr:cNvSpPr txBox="1">
          <a:spLocks noChangeArrowheads="1"/>
        </xdr:cNvSpPr>
      </xdr:nvSpPr>
      <xdr:spPr bwMode="auto">
        <a:xfrm>
          <a:off x="0" y="27708225"/>
          <a:ext cx="28575" cy="10477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78" name="Text Box 3">
          <a:extLst>
            <a:ext uri="{FF2B5EF4-FFF2-40B4-BE49-F238E27FC236}">
              <a16:creationId xmlns:a16="http://schemas.microsoft.com/office/drawing/2014/main" id="{00000000-0008-0000-0500-00004E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06" name="Text Box 3">
          <a:extLst>
            <a:ext uri="{FF2B5EF4-FFF2-40B4-BE49-F238E27FC236}">
              <a16:creationId xmlns:a16="http://schemas.microsoft.com/office/drawing/2014/main" id="{00000000-0008-0000-0500-00006A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07" name="Text Box 3">
          <a:extLst>
            <a:ext uri="{FF2B5EF4-FFF2-40B4-BE49-F238E27FC236}">
              <a16:creationId xmlns:a16="http://schemas.microsoft.com/office/drawing/2014/main" id="{00000000-0008-0000-0500-00006B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08" name="Text Box 3">
          <a:extLst>
            <a:ext uri="{FF2B5EF4-FFF2-40B4-BE49-F238E27FC236}">
              <a16:creationId xmlns:a16="http://schemas.microsoft.com/office/drawing/2014/main" id="{00000000-0008-0000-0500-00006C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09" name="Text Box 3">
          <a:extLst>
            <a:ext uri="{FF2B5EF4-FFF2-40B4-BE49-F238E27FC236}">
              <a16:creationId xmlns:a16="http://schemas.microsoft.com/office/drawing/2014/main" id="{00000000-0008-0000-0500-00006D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0" name="Text Box 3">
          <a:extLst>
            <a:ext uri="{FF2B5EF4-FFF2-40B4-BE49-F238E27FC236}">
              <a16:creationId xmlns:a16="http://schemas.microsoft.com/office/drawing/2014/main" id="{00000000-0008-0000-0500-00006E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1" name="Text Box 3">
          <a:extLst>
            <a:ext uri="{FF2B5EF4-FFF2-40B4-BE49-F238E27FC236}">
              <a16:creationId xmlns:a16="http://schemas.microsoft.com/office/drawing/2014/main" id="{00000000-0008-0000-0500-00006F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12" name="Text Box 3">
          <a:extLst>
            <a:ext uri="{FF2B5EF4-FFF2-40B4-BE49-F238E27FC236}">
              <a16:creationId xmlns:a16="http://schemas.microsoft.com/office/drawing/2014/main" id="{00000000-0008-0000-0500-000070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3" name="Text Box 3">
          <a:extLst>
            <a:ext uri="{FF2B5EF4-FFF2-40B4-BE49-F238E27FC236}">
              <a16:creationId xmlns:a16="http://schemas.microsoft.com/office/drawing/2014/main" id="{00000000-0008-0000-0500-000071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4" name="Text Box 3">
          <a:extLst>
            <a:ext uri="{FF2B5EF4-FFF2-40B4-BE49-F238E27FC236}">
              <a16:creationId xmlns:a16="http://schemas.microsoft.com/office/drawing/2014/main" id="{00000000-0008-0000-0500-000072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5" name="Text Box 3">
          <a:extLst>
            <a:ext uri="{FF2B5EF4-FFF2-40B4-BE49-F238E27FC236}">
              <a16:creationId xmlns:a16="http://schemas.microsoft.com/office/drawing/2014/main" id="{00000000-0008-0000-0500-000073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6" name="Text Box 3">
          <a:extLst>
            <a:ext uri="{FF2B5EF4-FFF2-40B4-BE49-F238E27FC236}">
              <a16:creationId xmlns:a16="http://schemas.microsoft.com/office/drawing/2014/main" id="{00000000-0008-0000-0500-000074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7" name="Text Box 3">
          <a:extLst>
            <a:ext uri="{FF2B5EF4-FFF2-40B4-BE49-F238E27FC236}">
              <a16:creationId xmlns:a16="http://schemas.microsoft.com/office/drawing/2014/main" id="{00000000-0008-0000-0500-000075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18" name="Text Box 3">
          <a:extLst>
            <a:ext uri="{FF2B5EF4-FFF2-40B4-BE49-F238E27FC236}">
              <a16:creationId xmlns:a16="http://schemas.microsoft.com/office/drawing/2014/main" id="{00000000-0008-0000-0500-000076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9" name="Text Box 3">
          <a:extLst>
            <a:ext uri="{FF2B5EF4-FFF2-40B4-BE49-F238E27FC236}">
              <a16:creationId xmlns:a16="http://schemas.microsoft.com/office/drawing/2014/main" id="{00000000-0008-0000-0500-000077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0" name="Text Box 3">
          <a:extLst>
            <a:ext uri="{FF2B5EF4-FFF2-40B4-BE49-F238E27FC236}">
              <a16:creationId xmlns:a16="http://schemas.microsoft.com/office/drawing/2014/main" id="{00000000-0008-0000-0500-000078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1" name="Text Box 3">
          <a:extLst>
            <a:ext uri="{FF2B5EF4-FFF2-40B4-BE49-F238E27FC236}">
              <a16:creationId xmlns:a16="http://schemas.microsoft.com/office/drawing/2014/main" id="{00000000-0008-0000-0500-000079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2" name="Text Box 3">
          <a:extLst>
            <a:ext uri="{FF2B5EF4-FFF2-40B4-BE49-F238E27FC236}">
              <a16:creationId xmlns:a16="http://schemas.microsoft.com/office/drawing/2014/main" id="{00000000-0008-0000-0500-00007A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3" name="Text Box 3">
          <a:extLst>
            <a:ext uri="{FF2B5EF4-FFF2-40B4-BE49-F238E27FC236}">
              <a16:creationId xmlns:a16="http://schemas.microsoft.com/office/drawing/2014/main" id="{00000000-0008-0000-0500-00007B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24" name="Text Box 3">
          <a:extLst>
            <a:ext uri="{FF2B5EF4-FFF2-40B4-BE49-F238E27FC236}">
              <a16:creationId xmlns:a16="http://schemas.microsoft.com/office/drawing/2014/main" id="{00000000-0008-0000-0500-00007C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5" name="Text Box 3">
          <a:extLst>
            <a:ext uri="{FF2B5EF4-FFF2-40B4-BE49-F238E27FC236}">
              <a16:creationId xmlns:a16="http://schemas.microsoft.com/office/drawing/2014/main" id="{00000000-0008-0000-0500-00007D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6" name="Text Box 3">
          <a:extLst>
            <a:ext uri="{FF2B5EF4-FFF2-40B4-BE49-F238E27FC236}">
              <a16:creationId xmlns:a16="http://schemas.microsoft.com/office/drawing/2014/main" id="{00000000-0008-0000-0500-00007E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7" name="Text Box 3">
          <a:extLst>
            <a:ext uri="{FF2B5EF4-FFF2-40B4-BE49-F238E27FC236}">
              <a16:creationId xmlns:a16="http://schemas.microsoft.com/office/drawing/2014/main" id="{00000000-0008-0000-0500-00007F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8" name="Text Box 3">
          <a:extLst>
            <a:ext uri="{FF2B5EF4-FFF2-40B4-BE49-F238E27FC236}">
              <a16:creationId xmlns:a16="http://schemas.microsoft.com/office/drawing/2014/main" id="{00000000-0008-0000-0500-000080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9" name="Text Box 3">
          <a:extLst>
            <a:ext uri="{FF2B5EF4-FFF2-40B4-BE49-F238E27FC236}">
              <a16:creationId xmlns:a16="http://schemas.microsoft.com/office/drawing/2014/main" id="{00000000-0008-0000-0500-000081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30" name="Text Box 3">
          <a:extLst>
            <a:ext uri="{FF2B5EF4-FFF2-40B4-BE49-F238E27FC236}">
              <a16:creationId xmlns:a16="http://schemas.microsoft.com/office/drawing/2014/main" id="{00000000-0008-0000-0500-000082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1" name="Text Box 3">
          <a:extLst>
            <a:ext uri="{FF2B5EF4-FFF2-40B4-BE49-F238E27FC236}">
              <a16:creationId xmlns:a16="http://schemas.microsoft.com/office/drawing/2014/main" id="{00000000-0008-0000-0500-000083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2" name="Text Box 3">
          <a:extLst>
            <a:ext uri="{FF2B5EF4-FFF2-40B4-BE49-F238E27FC236}">
              <a16:creationId xmlns:a16="http://schemas.microsoft.com/office/drawing/2014/main" id="{00000000-0008-0000-0500-000084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3" name="Text Box 3">
          <a:extLst>
            <a:ext uri="{FF2B5EF4-FFF2-40B4-BE49-F238E27FC236}">
              <a16:creationId xmlns:a16="http://schemas.microsoft.com/office/drawing/2014/main" id="{00000000-0008-0000-0500-000085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4" name="Text Box 3">
          <a:extLst>
            <a:ext uri="{FF2B5EF4-FFF2-40B4-BE49-F238E27FC236}">
              <a16:creationId xmlns:a16="http://schemas.microsoft.com/office/drawing/2014/main" id="{00000000-0008-0000-0500-000086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5" name="Text Box 3">
          <a:extLst>
            <a:ext uri="{FF2B5EF4-FFF2-40B4-BE49-F238E27FC236}">
              <a16:creationId xmlns:a16="http://schemas.microsoft.com/office/drawing/2014/main" id="{00000000-0008-0000-0500-000087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36" name="Text Box 3">
          <a:extLst>
            <a:ext uri="{FF2B5EF4-FFF2-40B4-BE49-F238E27FC236}">
              <a16:creationId xmlns:a16="http://schemas.microsoft.com/office/drawing/2014/main" id="{00000000-0008-0000-0500-000088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7" name="Text Box 3">
          <a:extLst>
            <a:ext uri="{FF2B5EF4-FFF2-40B4-BE49-F238E27FC236}">
              <a16:creationId xmlns:a16="http://schemas.microsoft.com/office/drawing/2014/main" id="{00000000-0008-0000-0500-000089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8" name="Text Box 3">
          <a:extLst>
            <a:ext uri="{FF2B5EF4-FFF2-40B4-BE49-F238E27FC236}">
              <a16:creationId xmlns:a16="http://schemas.microsoft.com/office/drawing/2014/main" id="{00000000-0008-0000-0500-00008A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9" name="Text Box 3">
          <a:extLst>
            <a:ext uri="{FF2B5EF4-FFF2-40B4-BE49-F238E27FC236}">
              <a16:creationId xmlns:a16="http://schemas.microsoft.com/office/drawing/2014/main" id="{00000000-0008-0000-0500-00008B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40" name="Text Box 3">
          <a:extLst>
            <a:ext uri="{FF2B5EF4-FFF2-40B4-BE49-F238E27FC236}">
              <a16:creationId xmlns:a16="http://schemas.microsoft.com/office/drawing/2014/main" id="{00000000-0008-0000-0500-00008C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41" name="Text Box 3">
          <a:extLst>
            <a:ext uri="{FF2B5EF4-FFF2-40B4-BE49-F238E27FC236}">
              <a16:creationId xmlns:a16="http://schemas.microsoft.com/office/drawing/2014/main" id="{00000000-0008-0000-0500-00008D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42" name="Text Box 3">
          <a:extLst>
            <a:ext uri="{FF2B5EF4-FFF2-40B4-BE49-F238E27FC236}">
              <a16:creationId xmlns:a16="http://schemas.microsoft.com/office/drawing/2014/main" id="{00000000-0008-0000-0500-00008E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43" name="Text Box 3">
          <a:extLst>
            <a:ext uri="{FF2B5EF4-FFF2-40B4-BE49-F238E27FC236}">
              <a16:creationId xmlns:a16="http://schemas.microsoft.com/office/drawing/2014/main" id="{00000000-0008-0000-0500-00008F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288</xdr:row>
      <xdr:rowOff>0</xdr:rowOff>
    </xdr:from>
    <xdr:ext cx="76200" cy="200025"/>
    <xdr:sp macro="" textlink="">
      <xdr:nvSpPr>
        <xdr:cNvPr id="144" name="Text Box 3">
          <a:extLst>
            <a:ext uri="{FF2B5EF4-FFF2-40B4-BE49-F238E27FC236}">
              <a16:creationId xmlns:a16="http://schemas.microsoft.com/office/drawing/2014/main" id="{00000000-0008-0000-0500-000090000000}"/>
            </a:ext>
          </a:extLst>
        </xdr:cNvPr>
        <xdr:cNvSpPr txBox="1">
          <a:spLocks noChangeArrowheads="1"/>
        </xdr:cNvSpPr>
      </xdr:nvSpPr>
      <xdr:spPr bwMode="auto">
        <a:xfrm>
          <a:off x="4257675" y="37271325"/>
          <a:ext cx="76200" cy="200025"/>
        </a:xfrm>
        <a:prstGeom prst="rect">
          <a:avLst/>
        </a:prstGeom>
        <a:noFill/>
        <a:ln w="9525">
          <a:noFill/>
          <a:miter lim="800000"/>
          <a:headEnd/>
          <a:tailEnd/>
        </a:ln>
      </xdr:spPr>
    </xdr:sp>
    <xdr:clientData/>
  </xdr:oneCellAnchor>
  <xdr:oneCellAnchor>
    <xdr:from>
      <xdr:col>0</xdr:col>
      <xdr:colOff>0</xdr:colOff>
      <xdr:row>288</xdr:row>
      <xdr:rowOff>0</xdr:rowOff>
    </xdr:from>
    <xdr:ext cx="28575" cy="104775"/>
    <xdr:sp macro="" textlink="">
      <xdr:nvSpPr>
        <xdr:cNvPr id="145" name="Text Box 4">
          <a:extLst>
            <a:ext uri="{FF2B5EF4-FFF2-40B4-BE49-F238E27FC236}">
              <a16:creationId xmlns:a16="http://schemas.microsoft.com/office/drawing/2014/main" id="{00000000-0008-0000-0500-000091000000}"/>
            </a:ext>
          </a:extLst>
        </xdr:cNvPr>
        <xdr:cNvSpPr txBox="1">
          <a:spLocks noChangeArrowheads="1"/>
        </xdr:cNvSpPr>
      </xdr:nvSpPr>
      <xdr:spPr bwMode="auto">
        <a:xfrm>
          <a:off x="0" y="37271325"/>
          <a:ext cx="28575" cy="104775"/>
        </a:xfrm>
        <a:prstGeom prst="rect">
          <a:avLst/>
        </a:prstGeom>
        <a:noFill/>
        <a:ln w="9525">
          <a:noFill/>
          <a:miter lim="800000"/>
          <a:headEnd/>
          <a:tailEnd/>
        </a:ln>
      </xdr:spPr>
    </xdr:sp>
    <xdr:clientData/>
  </xdr:oneCellAnchor>
  <xdr:oneCellAnchor>
    <xdr:from>
      <xdr:col>6</xdr:col>
      <xdr:colOff>590550</xdr:colOff>
      <xdr:row>287</xdr:row>
      <xdr:rowOff>0</xdr:rowOff>
    </xdr:from>
    <xdr:ext cx="76200" cy="196850"/>
    <xdr:sp macro="" textlink="">
      <xdr:nvSpPr>
        <xdr:cNvPr id="146" name="Text Box 3">
          <a:extLst>
            <a:ext uri="{FF2B5EF4-FFF2-40B4-BE49-F238E27FC236}">
              <a16:creationId xmlns:a16="http://schemas.microsoft.com/office/drawing/2014/main" id="{00000000-0008-0000-0500-000092000000}"/>
            </a:ext>
          </a:extLst>
        </xdr:cNvPr>
        <xdr:cNvSpPr txBox="1">
          <a:spLocks noChangeArrowheads="1"/>
        </xdr:cNvSpPr>
      </xdr:nvSpPr>
      <xdr:spPr bwMode="auto">
        <a:xfrm>
          <a:off x="4257675" y="37071300"/>
          <a:ext cx="76200" cy="196850"/>
        </a:xfrm>
        <a:prstGeom prst="rect">
          <a:avLst/>
        </a:prstGeom>
        <a:noFill/>
        <a:ln w="9525">
          <a:noFill/>
          <a:miter lim="800000"/>
          <a:headEnd/>
          <a:tailEnd/>
        </a:ln>
      </xdr:spPr>
    </xdr:sp>
    <xdr:clientData/>
  </xdr:oneCellAnchor>
  <xdr:oneCellAnchor>
    <xdr:from>
      <xdr:col>0</xdr:col>
      <xdr:colOff>0</xdr:colOff>
      <xdr:row>287</xdr:row>
      <xdr:rowOff>0</xdr:rowOff>
    </xdr:from>
    <xdr:ext cx="28575" cy="104775"/>
    <xdr:sp macro="" textlink="">
      <xdr:nvSpPr>
        <xdr:cNvPr id="147" name="Text Box 4">
          <a:extLst>
            <a:ext uri="{FF2B5EF4-FFF2-40B4-BE49-F238E27FC236}">
              <a16:creationId xmlns:a16="http://schemas.microsoft.com/office/drawing/2014/main" id="{00000000-0008-0000-0500-000093000000}"/>
            </a:ext>
          </a:extLst>
        </xdr:cNvPr>
        <xdr:cNvSpPr txBox="1">
          <a:spLocks noChangeArrowheads="1"/>
        </xdr:cNvSpPr>
      </xdr:nvSpPr>
      <xdr:spPr bwMode="auto">
        <a:xfrm>
          <a:off x="0" y="37071300"/>
          <a:ext cx="28575" cy="10477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48" name="Text Box 3">
          <a:extLst>
            <a:ext uri="{FF2B5EF4-FFF2-40B4-BE49-F238E27FC236}">
              <a16:creationId xmlns:a16="http://schemas.microsoft.com/office/drawing/2014/main" id="{00000000-0008-0000-0500-000094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49" name="Text Box 3">
          <a:extLst>
            <a:ext uri="{FF2B5EF4-FFF2-40B4-BE49-F238E27FC236}">
              <a16:creationId xmlns:a16="http://schemas.microsoft.com/office/drawing/2014/main" id="{00000000-0008-0000-0500-000095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0" name="Text Box 3">
          <a:extLst>
            <a:ext uri="{FF2B5EF4-FFF2-40B4-BE49-F238E27FC236}">
              <a16:creationId xmlns:a16="http://schemas.microsoft.com/office/drawing/2014/main" id="{00000000-0008-0000-0500-000096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1" name="Text Box 3">
          <a:extLst>
            <a:ext uri="{FF2B5EF4-FFF2-40B4-BE49-F238E27FC236}">
              <a16:creationId xmlns:a16="http://schemas.microsoft.com/office/drawing/2014/main" id="{00000000-0008-0000-0500-000097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2" name="Text Box 3">
          <a:extLst>
            <a:ext uri="{FF2B5EF4-FFF2-40B4-BE49-F238E27FC236}">
              <a16:creationId xmlns:a16="http://schemas.microsoft.com/office/drawing/2014/main" id="{00000000-0008-0000-0500-000098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3" name="Text Box 3">
          <a:extLst>
            <a:ext uri="{FF2B5EF4-FFF2-40B4-BE49-F238E27FC236}">
              <a16:creationId xmlns:a16="http://schemas.microsoft.com/office/drawing/2014/main" id="{00000000-0008-0000-0500-000099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4" name="Text Box 3">
          <a:extLst>
            <a:ext uri="{FF2B5EF4-FFF2-40B4-BE49-F238E27FC236}">
              <a16:creationId xmlns:a16="http://schemas.microsoft.com/office/drawing/2014/main" id="{00000000-0008-0000-0500-00009A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55" name="Text Box 3">
          <a:extLst>
            <a:ext uri="{FF2B5EF4-FFF2-40B4-BE49-F238E27FC236}">
              <a16:creationId xmlns:a16="http://schemas.microsoft.com/office/drawing/2014/main" id="{00000000-0008-0000-0500-00009B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6" name="Text Box 3">
          <a:extLst>
            <a:ext uri="{FF2B5EF4-FFF2-40B4-BE49-F238E27FC236}">
              <a16:creationId xmlns:a16="http://schemas.microsoft.com/office/drawing/2014/main" id="{00000000-0008-0000-0500-00009C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7" name="Text Box 3">
          <a:extLst>
            <a:ext uri="{FF2B5EF4-FFF2-40B4-BE49-F238E27FC236}">
              <a16:creationId xmlns:a16="http://schemas.microsoft.com/office/drawing/2014/main" id="{00000000-0008-0000-0500-00009D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8" name="Text Box 3">
          <a:extLst>
            <a:ext uri="{FF2B5EF4-FFF2-40B4-BE49-F238E27FC236}">
              <a16:creationId xmlns:a16="http://schemas.microsoft.com/office/drawing/2014/main" id="{00000000-0008-0000-0500-00009E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9" name="Text Box 3">
          <a:extLst>
            <a:ext uri="{FF2B5EF4-FFF2-40B4-BE49-F238E27FC236}">
              <a16:creationId xmlns:a16="http://schemas.microsoft.com/office/drawing/2014/main" id="{00000000-0008-0000-0500-00009F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0" name="Text Box 3">
          <a:extLst>
            <a:ext uri="{FF2B5EF4-FFF2-40B4-BE49-F238E27FC236}">
              <a16:creationId xmlns:a16="http://schemas.microsoft.com/office/drawing/2014/main" id="{00000000-0008-0000-0500-0000A0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61" name="Text Box 3">
          <a:extLst>
            <a:ext uri="{FF2B5EF4-FFF2-40B4-BE49-F238E27FC236}">
              <a16:creationId xmlns:a16="http://schemas.microsoft.com/office/drawing/2014/main" id="{00000000-0008-0000-0500-0000A1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2" name="Text Box 3">
          <a:extLst>
            <a:ext uri="{FF2B5EF4-FFF2-40B4-BE49-F238E27FC236}">
              <a16:creationId xmlns:a16="http://schemas.microsoft.com/office/drawing/2014/main" id="{00000000-0008-0000-0500-0000A2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3" name="Text Box 3">
          <a:extLst>
            <a:ext uri="{FF2B5EF4-FFF2-40B4-BE49-F238E27FC236}">
              <a16:creationId xmlns:a16="http://schemas.microsoft.com/office/drawing/2014/main" id="{00000000-0008-0000-0500-0000A3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4" name="Text Box 3">
          <a:extLst>
            <a:ext uri="{FF2B5EF4-FFF2-40B4-BE49-F238E27FC236}">
              <a16:creationId xmlns:a16="http://schemas.microsoft.com/office/drawing/2014/main" id="{00000000-0008-0000-0500-0000A4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5" name="Text Box 3">
          <a:extLst>
            <a:ext uri="{FF2B5EF4-FFF2-40B4-BE49-F238E27FC236}">
              <a16:creationId xmlns:a16="http://schemas.microsoft.com/office/drawing/2014/main" id="{00000000-0008-0000-0500-0000A5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6" name="Text Box 3">
          <a:extLst>
            <a:ext uri="{FF2B5EF4-FFF2-40B4-BE49-F238E27FC236}">
              <a16:creationId xmlns:a16="http://schemas.microsoft.com/office/drawing/2014/main" id="{00000000-0008-0000-0500-0000A6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67" name="Text Box 3">
          <a:extLst>
            <a:ext uri="{FF2B5EF4-FFF2-40B4-BE49-F238E27FC236}">
              <a16:creationId xmlns:a16="http://schemas.microsoft.com/office/drawing/2014/main" id="{00000000-0008-0000-0500-0000A7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8" name="Text Box 3">
          <a:extLst>
            <a:ext uri="{FF2B5EF4-FFF2-40B4-BE49-F238E27FC236}">
              <a16:creationId xmlns:a16="http://schemas.microsoft.com/office/drawing/2014/main" id="{00000000-0008-0000-0500-0000A8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9" name="Text Box 3">
          <a:extLst>
            <a:ext uri="{FF2B5EF4-FFF2-40B4-BE49-F238E27FC236}">
              <a16:creationId xmlns:a16="http://schemas.microsoft.com/office/drawing/2014/main" id="{00000000-0008-0000-0500-0000A9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0" name="Text Box 3">
          <a:extLst>
            <a:ext uri="{FF2B5EF4-FFF2-40B4-BE49-F238E27FC236}">
              <a16:creationId xmlns:a16="http://schemas.microsoft.com/office/drawing/2014/main" id="{00000000-0008-0000-0500-0000AA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1" name="Text Box 3">
          <a:extLst>
            <a:ext uri="{FF2B5EF4-FFF2-40B4-BE49-F238E27FC236}">
              <a16:creationId xmlns:a16="http://schemas.microsoft.com/office/drawing/2014/main" id="{00000000-0008-0000-0500-0000AB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2" name="Text Box 3">
          <a:extLst>
            <a:ext uri="{FF2B5EF4-FFF2-40B4-BE49-F238E27FC236}">
              <a16:creationId xmlns:a16="http://schemas.microsoft.com/office/drawing/2014/main" id="{00000000-0008-0000-0500-0000AC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73" name="Text Box 3">
          <a:extLst>
            <a:ext uri="{FF2B5EF4-FFF2-40B4-BE49-F238E27FC236}">
              <a16:creationId xmlns:a16="http://schemas.microsoft.com/office/drawing/2014/main" id="{00000000-0008-0000-0500-0000AD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4" name="Text Box 3">
          <a:extLst>
            <a:ext uri="{FF2B5EF4-FFF2-40B4-BE49-F238E27FC236}">
              <a16:creationId xmlns:a16="http://schemas.microsoft.com/office/drawing/2014/main" id="{00000000-0008-0000-0500-0000AE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5" name="Text Box 3">
          <a:extLst>
            <a:ext uri="{FF2B5EF4-FFF2-40B4-BE49-F238E27FC236}">
              <a16:creationId xmlns:a16="http://schemas.microsoft.com/office/drawing/2014/main" id="{00000000-0008-0000-0500-0000AF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6" name="Text Box 3">
          <a:extLst>
            <a:ext uri="{FF2B5EF4-FFF2-40B4-BE49-F238E27FC236}">
              <a16:creationId xmlns:a16="http://schemas.microsoft.com/office/drawing/2014/main" id="{00000000-0008-0000-0500-0000B0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7" name="Text Box 3">
          <a:extLst>
            <a:ext uri="{FF2B5EF4-FFF2-40B4-BE49-F238E27FC236}">
              <a16:creationId xmlns:a16="http://schemas.microsoft.com/office/drawing/2014/main" id="{00000000-0008-0000-0500-0000B1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8" name="Text Box 3">
          <a:extLst>
            <a:ext uri="{FF2B5EF4-FFF2-40B4-BE49-F238E27FC236}">
              <a16:creationId xmlns:a16="http://schemas.microsoft.com/office/drawing/2014/main" id="{00000000-0008-0000-0500-0000B2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79" name="Text Box 3">
          <a:extLst>
            <a:ext uri="{FF2B5EF4-FFF2-40B4-BE49-F238E27FC236}">
              <a16:creationId xmlns:a16="http://schemas.microsoft.com/office/drawing/2014/main" id="{00000000-0008-0000-0500-0000B3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0" name="Text Box 3">
          <a:extLst>
            <a:ext uri="{FF2B5EF4-FFF2-40B4-BE49-F238E27FC236}">
              <a16:creationId xmlns:a16="http://schemas.microsoft.com/office/drawing/2014/main" id="{00000000-0008-0000-0500-0000B4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1" name="Text Box 3">
          <a:extLst>
            <a:ext uri="{FF2B5EF4-FFF2-40B4-BE49-F238E27FC236}">
              <a16:creationId xmlns:a16="http://schemas.microsoft.com/office/drawing/2014/main" id="{00000000-0008-0000-0500-0000B5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2" name="Text Box 3">
          <a:extLst>
            <a:ext uri="{FF2B5EF4-FFF2-40B4-BE49-F238E27FC236}">
              <a16:creationId xmlns:a16="http://schemas.microsoft.com/office/drawing/2014/main" id="{00000000-0008-0000-0500-0000B6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3" name="Text Box 3">
          <a:extLst>
            <a:ext uri="{FF2B5EF4-FFF2-40B4-BE49-F238E27FC236}">
              <a16:creationId xmlns:a16="http://schemas.microsoft.com/office/drawing/2014/main" id="{00000000-0008-0000-0500-0000B7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4" name="Text Box 3">
          <a:extLst>
            <a:ext uri="{FF2B5EF4-FFF2-40B4-BE49-F238E27FC236}">
              <a16:creationId xmlns:a16="http://schemas.microsoft.com/office/drawing/2014/main" id="{00000000-0008-0000-0500-0000B8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85" name="Text Box 3">
          <a:extLst>
            <a:ext uri="{FF2B5EF4-FFF2-40B4-BE49-F238E27FC236}">
              <a16:creationId xmlns:a16="http://schemas.microsoft.com/office/drawing/2014/main" id="{00000000-0008-0000-0500-0000B9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6" name="Text Box 3">
          <a:extLst>
            <a:ext uri="{FF2B5EF4-FFF2-40B4-BE49-F238E27FC236}">
              <a16:creationId xmlns:a16="http://schemas.microsoft.com/office/drawing/2014/main" id="{00000000-0008-0000-0500-0000BA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346</xdr:row>
      <xdr:rowOff>0</xdr:rowOff>
    </xdr:from>
    <xdr:ext cx="76200" cy="200025"/>
    <xdr:sp macro="" textlink="">
      <xdr:nvSpPr>
        <xdr:cNvPr id="187" name="Text Box 3">
          <a:extLst>
            <a:ext uri="{FF2B5EF4-FFF2-40B4-BE49-F238E27FC236}">
              <a16:creationId xmlns:a16="http://schemas.microsoft.com/office/drawing/2014/main" id="{00000000-0008-0000-0500-0000BB000000}"/>
            </a:ext>
          </a:extLst>
        </xdr:cNvPr>
        <xdr:cNvSpPr txBox="1">
          <a:spLocks noChangeArrowheads="1"/>
        </xdr:cNvSpPr>
      </xdr:nvSpPr>
      <xdr:spPr bwMode="auto">
        <a:xfrm>
          <a:off x="4257675" y="46786800"/>
          <a:ext cx="76200" cy="200025"/>
        </a:xfrm>
        <a:prstGeom prst="rect">
          <a:avLst/>
        </a:prstGeom>
        <a:noFill/>
        <a:ln w="9525">
          <a:noFill/>
          <a:miter lim="800000"/>
          <a:headEnd/>
          <a:tailEnd/>
        </a:ln>
      </xdr:spPr>
    </xdr:sp>
    <xdr:clientData/>
  </xdr:oneCellAnchor>
  <xdr:oneCellAnchor>
    <xdr:from>
      <xdr:col>0</xdr:col>
      <xdr:colOff>0</xdr:colOff>
      <xdr:row>346</xdr:row>
      <xdr:rowOff>0</xdr:rowOff>
    </xdr:from>
    <xdr:ext cx="28575" cy="104775"/>
    <xdr:sp macro="" textlink="">
      <xdr:nvSpPr>
        <xdr:cNvPr id="188" name="Text Box 4">
          <a:extLst>
            <a:ext uri="{FF2B5EF4-FFF2-40B4-BE49-F238E27FC236}">
              <a16:creationId xmlns:a16="http://schemas.microsoft.com/office/drawing/2014/main" id="{00000000-0008-0000-0500-0000BC000000}"/>
            </a:ext>
          </a:extLst>
        </xdr:cNvPr>
        <xdr:cNvSpPr txBox="1">
          <a:spLocks noChangeArrowheads="1"/>
        </xdr:cNvSpPr>
      </xdr:nvSpPr>
      <xdr:spPr bwMode="auto">
        <a:xfrm>
          <a:off x="0" y="46786800"/>
          <a:ext cx="28575" cy="104775"/>
        </a:xfrm>
        <a:prstGeom prst="rect">
          <a:avLst/>
        </a:prstGeom>
        <a:noFill/>
        <a:ln w="9525">
          <a:noFill/>
          <a:miter lim="800000"/>
          <a:headEnd/>
          <a:tailEnd/>
        </a:ln>
      </xdr:spPr>
    </xdr:sp>
    <xdr:clientData/>
  </xdr:oneCellAnchor>
  <xdr:oneCellAnchor>
    <xdr:from>
      <xdr:col>6</xdr:col>
      <xdr:colOff>590550</xdr:colOff>
      <xdr:row>345</xdr:row>
      <xdr:rowOff>0</xdr:rowOff>
    </xdr:from>
    <xdr:ext cx="76200" cy="196850"/>
    <xdr:sp macro="" textlink="">
      <xdr:nvSpPr>
        <xdr:cNvPr id="189" name="Text Box 3">
          <a:extLst>
            <a:ext uri="{FF2B5EF4-FFF2-40B4-BE49-F238E27FC236}">
              <a16:creationId xmlns:a16="http://schemas.microsoft.com/office/drawing/2014/main" id="{00000000-0008-0000-0500-0000BD000000}"/>
            </a:ext>
          </a:extLst>
        </xdr:cNvPr>
        <xdr:cNvSpPr txBox="1">
          <a:spLocks noChangeArrowheads="1"/>
        </xdr:cNvSpPr>
      </xdr:nvSpPr>
      <xdr:spPr bwMode="auto">
        <a:xfrm>
          <a:off x="4257675" y="46586775"/>
          <a:ext cx="76200" cy="196850"/>
        </a:xfrm>
        <a:prstGeom prst="rect">
          <a:avLst/>
        </a:prstGeom>
        <a:noFill/>
        <a:ln w="9525">
          <a:noFill/>
          <a:miter lim="800000"/>
          <a:headEnd/>
          <a:tailEnd/>
        </a:ln>
      </xdr:spPr>
    </xdr:sp>
    <xdr:clientData/>
  </xdr:oneCellAnchor>
  <xdr:oneCellAnchor>
    <xdr:from>
      <xdr:col>0</xdr:col>
      <xdr:colOff>0</xdr:colOff>
      <xdr:row>345</xdr:row>
      <xdr:rowOff>0</xdr:rowOff>
    </xdr:from>
    <xdr:ext cx="28575" cy="104775"/>
    <xdr:sp macro="" textlink="">
      <xdr:nvSpPr>
        <xdr:cNvPr id="190" name="Text Box 4">
          <a:extLst>
            <a:ext uri="{FF2B5EF4-FFF2-40B4-BE49-F238E27FC236}">
              <a16:creationId xmlns:a16="http://schemas.microsoft.com/office/drawing/2014/main" id="{00000000-0008-0000-0500-0000BE000000}"/>
            </a:ext>
          </a:extLst>
        </xdr:cNvPr>
        <xdr:cNvSpPr txBox="1">
          <a:spLocks noChangeArrowheads="1"/>
        </xdr:cNvSpPr>
      </xdr:nvSpPr>
      <xdr:spPr bwMode="auto">
        <a:xfrm>
          <a:off x="0" y="46586775"/>
          <a:ext cx="28575" cy="10477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1" name="Text Box 3">
          <a:extLst>
            <a:ext uri="{FF2B5EF4-FFF2-40B4-BE49-F238E27FC236}">
              <a16:creationId xmlns:a16="http://schemas.microsoft.com/office/drawing/2014/main" id="{00000000-0008-0000-0500-0000BF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192" name="Text Box 3">
          <a:extLst>
            <a:ext uri="{FF2B5EF4-FFF2-40B4-BE49-F238E27FC236}">
              <a16:creationId xmlns:a16="http://schemas.microsoft.com/office/drawing/2014/main" id="{00000000-0008-0000-0500-0000C0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3" name="Text Box 3">
          <a:extLst>
            <a:ext uri="{FF2B5EF4-FFF2-40B4-BE49-F238E27FC236}">
              <a16:creationId xmlns:a16="http://schemas.microsoft.com/office/drawing/2014/main" id="{00000000-0008-0000-0500-0000C1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4" name="Text Box 3">
          <a:extLst>
            <a:ext uri="{FF2B5EF4-FFF2-40B4-BE49-F238E27FC236}">
              <a16:creationId xmlns:a16="http://schemas.microsoft.com/office/drawing/2014/main" id="{00000000-0008-0000-0500-0000C2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5" name="Text Box 3">
          <a:extLst>
            <a:ext uri="{FF2B5EF4-FFF2-40B4-BE49-F238E27FC236}">
              <a16:creationId xmlns:a16="http://schemas.microsoft.com/office/drawing/2014/main" id="{00000000-0008-0000-0500-0000C3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6" name="Text Box 3">
          <a:extLst>
            <a:ext uri="{FF2B5EF4-FFF2-40B4-BE49-F238E27FC236}">
              <a16:creationId xmlns:a16="http://schemas.microsoft.com/office/drawing/2014/main" id="{00000000-0008-0000-0500-0000C4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7" name="Text Box 3">
          <a:extLst>
            <a:ext uri="{FF2B5EF4-FFF2-40B4-BE49-F238E27FC236}">
              <a16:creationId xmlns:a16="http://schemas.microsoft.com/office/drawing/2014/main" id="{00000000-0008-0000-0500-0000C5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198" name="Text Box 3">
          <a:extLst>
            <a:ext uri="{FF2B5EF4-FFF2-40B4-BE49-F238E27FC236}">
              <a16:creationId xmlns:a16="http://schemas.microsoft.com/office/drawing/2014/main" id="{00000000-0008-0000-0500-0000C6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9" name="Text Box 3">
          <a:extLst>
            <a:ext uri="{FF2B5EF4-FFF2-40B4-BE49-F238E27FC236}">
              <a16:creationId xmlns:a16="http://schemas.microsoft.com/office/drawing/2014/main" id="{00000000-0008-0000-0500-0000C7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0" name="Text Box 3">
          <a:extLst>
            <a:ext uri="{FF2B5EF4-FFF2-40B4-BE49-F238E27FC236}">
              <a16:creationId xmlns:a16="http://schemas.microsoft.com/office/drawing/2014/main" id="{00000000-0008-0000-0500-0000C8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1" name="Text Box 3">
          <a:extLst>
            <a:ext uri="{FF2B5EF4-FFF2-40B4-BE49-F238E27FC236}">
              <a16:creationId xmlns:a16="http://schemas.microsoft.com/office/drawing/2014/main" id="{00000000-0008-0000-0500-0000C9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2" name="Text Box 3">
          <a:extLst>
            <a:ext uri="{FF2B5EF4-FFF2-40B4-BE49-F238E27FC236}">
              <a16:creationId xmlns:a16="http://schemas.microsoft.com/office/drawing/2014/main" id="{00000000-0008-0000-0500-0000CA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3" name="Text Box 3">
          <a:extLst>
            <a:ext uri="{FF2B5EF4-FFF2-40B4-BE49-F238E27FC236}">
              <a16:creationId xmlns:a16="http://schemas.microsoft.com/office/drawing/2014/main" id="{00000000-0008-0000-0500-0000CB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04" name="Text Box 3">
          <a:extLst>
            <a:ext uri="{FF2B5EF4-FFF2-40B4-BE49-F238E27FC236}">
              <a16:creationId xmlns:a16="http://schemas.microsoft.com/office/drawing/2014/main" id="{00000000-0008-0000-0500-0000CC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5" name="Text Box 3">
          <a:extLst>
            <a:ext uri="{FF2B5EF4-FFF2-40B4-BE49-F238E27FC236}">
              <a16:creationId xmlns:a16="http://schemas.microsoft.com/office/drawing/2014/main" id="{00000000-0008-0000-0500-0000CD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6" name="Text Box 3">
          <a:extLst>
            <a:ext uri="{FF2B5EF4-FFF2-40B4-BE49-F238E27FC236}">
              <a16:creationId xmlns:a16="http://schemas.microsoft.com/office/drawing/2014/main" id="{00000000-0008-0000-0500-0000CE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7" name="Text Box 3">
          <a:extLst>
            <a:ext uri="{FF2B5EF4-FFF2-40B4-BE49-F238E27FC236}">
              <a16:creationId xmlns:a16="http://schemas.microsoft.com/office/drawing/2014/main" id="{00000000-0008-0000-0500-0000CF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8" name="Text Box 3">
          <a:extLst>
            <a:ext uri="{FF2B5EF4-FFF2-40B4-BE49-F238E27FC236}">
              <a16:creationId xmlns:a16="http://schemas.microsoft.com/office/drawing/2014/main" id="{00000000-0008-0000-0500-0000D0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9" name="Text Box 3">
          <a:extLst>
            <a:ext uri="{FF2B5EF4-FFF2-40B4-BE49-F238E27FC236}">
              <a16:creationId xmlns:a16="http://schemas.microsoft.com/office/drawing/2014/main" id="{00000000-0008-0000-0500-0000D1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10" name="Text Box 3">
          <a:extLst>
            <a:ext uri="{FF2B5EF4-FFF2-40B4-BE49-F238E27FC236}">
              <a16:creationId xmlns:a16="http://schemas.microsoft.com/office/drawing/2014/main" id="{00000000-0008-0000-0500-0000D2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1" name="Text Box 3">
          <a:extLst>
            <a:ext uri="{FF2B5EF4-FFF2-40B4-BE49-F238E27FC236}">
              <a16:creationId xmlns:a16="http://schemas.microsoft.com/office/drawing/2014/main" id="{00000000-0008-0000-0500-0000D3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2" name="Text Box 3">
          <a:extLst>
            <a:ext uri="{FF2B5EF4-FFF2-40B4-BE49-F238E27FC236}">
              <a16:creationId xmlns:a16="http://schemas.microsoft.com/office/drawing/2014/main" id="{00000000-0008-0000-0500-0000D4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3" name="Text Box 3">
          <a:extLst>
            <a:ext uri="{FF2B5EF4-FFF2-40B4-BE49-F238E27FC236}">
              <a16:creationId xmlns:a16="http://schemas.microsoft.com/office/drawing/2014/main" id="{00000000-0008-0000-0500-0000D5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4" name="Text Box 3">
          <a:extLst>
            <a:ext uri="{FF2B5EF4-FFF2-40B4-BE49-F238E27FC236}">
              <a16:creationId xmlns:a16="http://schemas.microsoft.com/office/drawing/2014/main" id="{00000000-0008-0000-0500-0000D6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5" name="Text Box 3">
          <a:extLst>
            <a:ext uri="{FF2B5EF4-FFF2-40B4-BE49-F238E27FC236}">
              <a16:creationId xmlns:a16="http://schemas.microsoft.com/office/drawing/2014/main" id="{00000000-0008-0000-0500-0000D7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16" name="Text Box 3">
          <a:extLst>
            <a:ext uri="{FF2B5EF4-FFF2-40B4-BE49-F238E27FC236}">
              <a16:creationId xmlns:a16="http://schemas.microsoft.com/office/drawing/2014/main" id="{00000000-0008-0000-0500-0000D8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7" name="Text Box 3">
          <a:extLst>
            <a:ext uri="{FF2B5EF4-FFF2-40B4-BE49-F238E27FC236}">
              <a16:creationId xmlns:a16="http://schemas.microsoft.com/office/drawing/2014/main" id="{00000000-0008-0000-0500-0000D9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8" name="Text Box 3">
          <a:extLst>
            <a:ext uri="{FF2B5EF4-FFF2-40B4-BE49-F238E27FC236}">
              <a16:creationId xmlns:a16="http://schemas.microsoft.com/office/drawing/2014/main" id="{00000000-0008-0000-0500-0000DA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9" name="Text Box 3">
          <a:extLst>
            <a:ext uri="{FF2B5EF4-FFF2-40B4-BE49-F238E27FC236}">
              <a16:creationId xmlns:a16="http://schemas.microsoft.com/office/drawing/2014/main" id="{00000000-0008-0000-0500-0000DB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0" name="Text Box 3">
          <a:extLst>
            <a:ext uri="{FF2B5EF4-FFF2-40B4-BE49-F238E27FC236}">
              <a16:creationId xmlns:a16="http://schemas.microsoft.com/office/drawing/2014/main" id="{00000000-0008-0000-0500-0000DC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1" name="Text Box 3">
          <a:extLst>
            <a:ext uri="{FF2B5EF4-FFF2-40B4-BE49-F238E27FC236}">
              <a16:creationId xmlns:a16="http://schemas.microsoft.com/office/drawing/2014/main" id="{00000000-0008-0000-0500-0000DD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22" name="Text Box 3">
          <a:extLst>
            <a:ext uri="{FF2B5EF4-FFF2-40B4-BE49-F238E27FC236}">
              <a16:creationId xmlns:a16="http://schemas.microsoft.com/office/drawing/2014/main" id="{00000000-0008-0000-0500-0000DE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3" name="Text Box 3">
          <a:extLst>
            <a:ext uri="{FF2B5EF4-FFF2-40B4-BE49-F238E27FC236}">
              <a16:creationId xmlns:a16="http://schemas.microsoft.com/office/drawing/2014/main" id="{00000000-0008-0000-0500-0000DF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4" name="Text Box 3">
          <a:extLst>
            <a:ext uri="{FF2B5EF4-FFF2-40B4-BE49-F238E27FC236}">
              <a16:creationId xmlns:a16="http://schemas.microsoft.com/office/drawing/2014/main" id="{00000000-0008-0000-0500-0000E0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5" name="Text Box 3">
          <a:extLst>
            <a:ext uri="{FF2B5EF4-FFF2-40B4-BE49-F238E27FC236}">
              <a16:creationId xmlns:a16="http://schemas.microsoft.com/office/drawing/2014/main" id="{00000000-0008-0000-0500-0000E1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6" name="Text Box 3">
          <a:extLst>
            <a:ext uri="{FF2B5EF4-FFF2-40B4-BE49-F238E27FC236}">
              <a16:creationId xmlns:a16="http://schemas.microsoft.com/office/drawing/2014/main" id="{00000000-0008-0000-0500-0000E2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7" name="Text Box 3">
          <a:extLst>
            <a:ext uri="{FF2B5EF4-FFF2-40B4-BE49-F238E27FC236}">
              <a16:creationId xmlns:a16="http://schemas.microsoft.com/office/drawing/2014/main" id="{00000000-0008-0000-0500-0000E3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28" name="Text Box 3">
          <a:extLst>
            <a:ext uri="{FF2B5EF4-FFF2-40B4-BE49-F238E27FC236}">
              <a16:creationId xmlns:a16="http://schemas.microsoft.com/office/drawing/2014/main" id="{00000000-0008-0000-0500-0000E4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9" name="Text Box 3">
          <a:extLst>
            <a:ext uri="{FF2B5EF4-FFF2-40B4-BE49-F238E27FC236}">
              <a16:creationId xmlns:a16="http://schemas.microsoft.com/office/drawing/2014/main" id="{00000000-0008-0000-0500-0000E5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404</xdr:row>
      <xdr:rowOff>0</xdr:rowOff>
    </xdr:from>
    <xdr:ext cx="76200" cy="200025"/>
    <xdr:sp macro="" textlink="">
      <xdr:nvSpPr>
        <xdr:cNvPr id="230" name="Text Box 3">
          <a:extLst>
            <a:ext uri="{FF2B5EF4-FFF2-40B4-BE49-F238E27FC236}">
              <a16:creationId xmlns:a16="http://schemas.microsoft.com/office/drawing/2014/main" id="{00000000-0008-0000-0500-0000E6000000}"/>
            </a:ext>
          </a:extLst>
        </xdr:cNvPr>
        <xdr:cNvSpPr txBox="1">
          <a:spLocks noChangeArrowheads="1"/>
        </xdr:cNvSpPr>
      </xdr:nvSpPr>
      <xdr:spPr bwMode="auto">
        <a:xfrm>
          <a:off x="4257675" y="56245125"/>
          <a:ext cx="76200" cy="200025"/>
        </a:xfrm>
        <a:prstGeom prst="rect">
          <a:avLst/>
        </a:prstGeom>
        <a:noFill/>
        <a:ln w="9525">
          <a:noFill/>
          <a:miter lim="800000"/>
          <a:headEnd/>
          <a:tailEnd/>
        </a:ln>
      </xdr:spPr>
    </xdr:sp>
    <xdr:clientData/>
  </xdr:oneCellAnchor>
  <xdr:oneCellAnchor>
    <xdr:from>
      <xdr:col>0</xdr:col>
      <xdr:colOff>0</xdr:colOff>
      <xdr:row>404</xdr:row>
      <xdr:rowOff>0</xdr:rowOff>
    </xdr:from>
    <xdr:ext cx="28575" cy="104775"/>
    <xdr:sp macro="" textlink="">
      <xdr:nvSpPr>
        <xdr:cNvPr id="231" name="Text Box 4">
          <a:extLst>
            <a:ext uri="{FF2B5EF4-FFF2-40B4-BE49-F238E27FC236}">
              <a16:creationId xmlns:a16="http://schemas.microsoft.com/office/drawing/2014/main" id="{00000000-0008-0000-0500-0000E7000000}"/>
            </a:ext>
          </a:extLst>
        </xdr:cNvPr>
        <xdr:cNvSpPr txBox="1">
          <a:spLocks noChangeArrowheads="1"/>
        </xdr:cNvSpPr>
      </xdr:nvSpPr>
      <xdr:spPr bwMode="auto">
        <a:xfrm>
          <a:off x="0" y="56245125"/>
          <a:ext cx="28575" cy="104775"/>
        </a:xfrm>
        <a:prstGeom prst="rect">
          <a:avLst/>
        </a:prstGeom>
        <a:noFill/>
        <a:ln w="9525">
          <a:noFill/>
          <a:miter lim="800000"/>
          <a:headEnd/>
          <a:tailEnd/>
        </a:ln>
      </xdr:spPr>
    </xdr:sp>
    <xdr:clientData/>
  </xdr:oneCellAnchor>
  <xdr:oneCellAnchor>
    <xdr:from>
      <xdr:col>6</xdr:col>
      <xdr:colOff>590550</xdr:colOff>
      <xdr:row>403</xdr:row>
      <xdr:rowOff>0</xdr:rowOff>
    </xdr:from>
    <xdr:ext cx="76200" cy="196850"/>
    <xdr:sp macro="" textlink="">
      <xdr:nvSpPr>
        <xdr:cNvPr id="232" name="Text Box 3">
          <a:extLst>
            <a:ext uri="{FF2B5EF4-FFF2-40B4-BE49-F238E27FC236}">
              <a16:creationId xmlns:a16="http://schemas.microsoft.com/office/drawing/2014/main" id="{00000000-0008-0000-0500-0000E8000000}"/>
            </a:ext>
          </a:extLst>
        </xdr:cNvPr>
        <xdr:cNvSpPr txBox="1">
          <a:spLocks noChangeArrowheads="1"/>
        </xdr:cNvSpPr>
      </xdr:nvSpPr>
      <xdr:spPr bwMode="auto">
        <a:xfrm>
          <a:off x="4257675" y="56045100"/>
          <a:ext cx="76200" cy="196850"/>
        </a:xfrm>
        <a:prstGeom prst="rect">
          <a:avLst/>
        </a:prstGeom>
        <a:noFill/>
        <a:ln w="9525">
          <a:noFill/>
          <a:miter lim="800000"/>
          <a:headEnd/>
          <a:tailEnd/>
        </a:ln>
      </xdr:spPr>
    </xdr:sp>
    <xdr:clientData/>
  </xdr:oneCellAnchor>
  <xdr:oneCellAnchor>
    <xdr:from>
      <xdr:col>0</xdr:col>
      <xdr:colOff>0</xdr:colOff>
      <xdr:row>403</xdr:row>
      <xdr:rowOff>0</xdr:rowOff>
    </xdr:from>
    <xdr:ext cx="28575" cy="104775"/>
    <xdr:sp macro="" textlink="">
      <xdr:nvSpPr>
        <xdr:cNvPr id="233" name="Text Box 4">
          <a:extLst>
            <a:ext uri="{FF2B5EF4-FFF2-40B4-BE49-F238E27FC236}">
              <a16:creationId xmlns:a16="http://schemas.microsoft.com/office/drawing/2014/main" id="{00000000-0008-0000-0500-0000E9000000}"/>
            </a:ext>
          </a:extLst>
        </xdr:cNvPr>
        <xdr:cNvSpPr txBox="1">
          <a:spLocks noChangeArrowheads="1"/>
        </xdr:cNvSpPr>
      </xdr:nvSpPr>
      <xdr:spPr bwMode="auto">
        <a:xfrm>
          <a:off x="0" y="56045100"/>
          <a:ext cx="28575" cy="10477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4" name="Text Box 3">
          <a:extLst>
            <a:ext uri="{FF2B5EF4-FFF2-40B4-BE49-F238E27FC236}">
              <a16:creationId xmlns:a16="http://schemas.microsoft.com/office/drawing/2014/main" id="{00000000-0008-0000-0500-0000EA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35" name="Text Box 3">
          <a:extLst>
            <a:ext uri="{FF2B5EF4-FFF2-40B4-BE49-F238E27FC236}">
              <a16:creationId xmlns:a16="http://schemas.microsoft.com/office/drawing/2014/main" id="{00000000-0008-0000-0500-0000EB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6" name="Text Box 3">
          <a:extLst>
            <a:ext uri="{FF2B5EF4-FFF2-40B4-BE49-F238E27FC236}">
              <a16:creationId xmlns:a16="http://schemas.microsoft.com/office/drawing/2014/main" id="{00000000-0008-0000-0500-0000EC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7" name="Text Box 3">
          <a:extLst>
            <a:ext uri="{FF2B5EF4-FFF2-40B4-BE49-F238E27FC236}">
              <a16:creationId xmlns:a16="http://schemas.microsoft.com/office/drawing/2014/main" id="{00000000-0008-0000-0500-0000ED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8" name="Text Box 3">
          <a:extLst>
            <a:ext uri="{FF2B5EF4-FFF2-40B4-BE49-F238E27FC236}">
              <a16:creationId xmlns:a16="http://schemas.microsoft.com/office/drawing/2014/main" id="{00000000-0008-0000-0500-0000EE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9" name="Text Box 3">
          <a:extLst>
            <a:ext uri="{FF2B5EF4-FFF2-40B4-BE49-F238E27FC236}">
              <a16:creationId xmlns:a16="http://schemas.microsoft.com/office/drawing/2014/main" id="{00000000-0008-0000-0500-0000EF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0" name="Text Box 3">
          <a:extLst>
            <a:ext uri="{FF2B5EF4-FFF2-40B4-BE49-F238E27FC236}">
              <a16:creationId xmlns:a16="http://schemas.microsoft.com/office/drawing/2014/main" id="{00000000-0008-0000-0500-0000F0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41" name="Text Box 3">
          <a:extLst>
            <a:ext uri="{FF2B5EF4-FFF2-40B4-BE49-F238E27FC236}">
              <a16:creationId xmlns:a16="http://schemas.microsoft.com/office/drawing/2014/main" id="{00000000-0008-0000-0500-0000F1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2" name="Text Box 3">
          <a:extLst>
            <a:ext uri="{FF2B5EF4-FFF2-40B4-BE49-F238E27FC236}">
              <a16:creationId xmlns:a16="http://schemas.microsoft.com/office/drawing/2014/main" id="{00000000-0008-0000-0500-0000F2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3" name="Text Box 3">
          <a:extLst>
            <a:ext uri="{FF2B5EF4-FFF2-40B4-BE49-F238E27FC236}">
              <a16:creationId xmlns:a16="http://schemas.microsoft.com/office/drawing/2014/main" id="{00000000-0008-0000-0500-0000F3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4" name="Text Box 3">
          <a:extLst>
            <a:ext uri="{FF2B5EF4-FFF2-40B4-BE49-F238E27FC236}">
              <a16:creationId xmlns:a16="http://schemas.microsoft.com/office/drawing/2014/main" id="{00000000-0008-0000-0500-0000F4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5" name="Text Box 3">
          <a:extLst>
            <a:ext uri="{FF2B5EF4-FFF2-40B4-BE49-F238E27FC236}">
              <a16:creationId xmlns:a16="http://schemas.microsoft.com/office/drawing/2014/main" id="{00000000-0008-0000-0500-0000F5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6" name="Text Box 3">
          <a:extLst>
            <a:ext uri="{FF2B5EF4-FFF2-40B4-BE49-F238E27FC236}">
              <a16:creationId xmlns:a16="http://schemas.microsoft.com/office/drawing/2014/main" id="{00000000-0008-0000-0500-0000F6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47" name="Text Box 3">
          <a:extLst>
            <a:ext uri="{FF2B5EF4-FFF2-40B4-BE49-F238E27FC236}">
              <a16:creationId xmlns:a16="http://schemas.microsoft.com/office/drawing/2014/main" id="{00000000-0008-0000-0500-0000F7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8" name="Text Box 3">
          <a:extLst>
            <a:ext uri="{FF2B5EF4-FFF2-40B4-BE49-F238E27FC236}">
              <a16:creationId xmlns:a16="http://schemas.microsoft.com/office/drawing/2014/main" id="{00000000-0008-0000-0500-0000F8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9" name="Text Box 3">
          <a:extLst>
            <a:ext uri="{FF2B5EF4-FFF2-40B4-BE49-F238E27FC236}">
              <a16:creationId xmlns:a16="http://schemas.microsoft.com/office/drawing/2014/main" id="{00000000-0008-0000-0500-0000F9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0" name="Text Box 3">
          <a:extLst>
            <a:ext uri="{FF2B5EF4-FFF2-40B4-BE49-F238E27FC236}">
              <a16:creationId xmlns:a16="http://schemas.microsoft.com/office/drawing/2014/main" id="{00000000-0008-0000-0500-0000FA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1" name="Text Box 3">
          <a:extLst>
            <a:ext uri="{FF2B5EF4-FFF2-40B4-BE49-F238E27FC236}">
              <a16:creationId xmlns:a16="http://schemas.microsoft.com/office/drawing/2014/main" id="{00000000-0008-0000-0500-0000FB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2" name="Text Box 3">
          <a:extLst>
            <a:ext uri="{FF2B5EF4-FFF2-40B4-BE49-F238E27FC236}">
              <a16:creationId xmlns:a16="http://schemas.microsoft.com/office/drawing/2014/main" id="{00000000-0008-0000-0500-0000FC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53" name="Text Box 3">
          <a:extLst>
            <a:ext uri="{FF2B5EF4-FFF2-40B4-BE49-F238E27FC236}">
              <a16:creationId xmlns:a16="http://schemas.microsoft.com/office/drawing/2014/main" id="{00000000-0008-0000-0500-0000FD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4" name="Text Box 3">
          <a:extLst>
            <a:ext uri="{FF2B5EF4-FFF2-40B4-BE49-F238E27FC236}">
              <a16:creationId xmlns:a16="http://schemas.microsoft.com/office/drawing/2014/main" id="{00000000-0008-0000-0500-0000FE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5" name="Text Box 3">
          <a:extLst>
            <a:ext uri="{FF2B5EF4-FFF2-40B4-BE49-F238E27FC236}">
              <a16:creationId xmlns:a16="http://schemas.microsoft.com/office/drawing/2014/main" id="{00000000-0008-0000-0500-0000FF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6" name="Text Box 3">
          <a:extLst>
            <a:ext uri="{FF2B5EF4-FFF2-40B4-BE49-F238E27FC236}">
              <a16:creationId xmlns:a16="http://schemas.microsoft.com/office/drawing/2014/main" id="{00000000-0008-0000-0500-000000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7" name="Text Box 3">
          <a:extLst>
            <a:ext uri="{FF2B5EF4-FFF2-40B4-BE49-F238E27FC236}">
              <a16:creationId xmlns:a16="http://schemas.microsoft.com/office/drawing/2014/main" id="{00000000-0008-0000-0500-000001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8" name="Text Box 3">
          <a:extLst>
            <a:ext uri="{FF2B5EF4-FFF2-40B4-BE49-F238E27FC236}">
              <a16:creationId xmlns:a16="http://schemas.microsoft.com/office/drawing/2014/main" id="{00000000-0008-0000-0500-000002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59" name="Text Box 3">
          <a:extLst>
            <a:ext uri="{FF2B5EF4-FFF2-40B4-BE49-F238E27FC236}">
              <a16:creationId xmlns:a16="http://schemas.microsoft.com/office/drawing/2014/main" id="{00000000-0008-0000-0500-00000301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0" name="Text Box 3">
          <a:extLst>
            <a:ext uri="{FF2B5EF4-FFF2-40B4-BE49-F238E27FC236}">
              <a16:creationId xmlns:a16="http://schemas.microsoft.com/office/drawing/2014/main" id="{00000000-0008-0000-0500-000004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1" name="Text Box 3">
          <a:extLst>
            <a:ext uri="{FF2B5EF4-FFF2-40B4-BE49-F238E27FC236}">
              <a16:creationId xmlns:a16="http://schemas.microsoft.com/office/drawing/2014/main" id="{00000000-0008-0000-0500-000005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2" name="Text Box 3">
          <a:extLst>
            <a:ext uri="{FF2B5EF4-FFF2-40B4-BE49-F238E27FC236}">
              <a16:creationId xmlns:a16="http://schemas.microsoft.com/office/drawing/2014/main" id="{00000000-0008-0000-0500-000006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3" name="Text Box 3">
          <a:extLst>
            <a:ext uri="{FF2B5EF4-FFF2-40B4-BE49-F238E27FC236}">
              <a16:creationId xmlns:a16="http://schemas.microsoft.com/office/drawing/2014/main" id="{00000000-0008-0000-0500-000007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4" name="Text Box 3">
          <a:extLst>
            <a:ext uri="{FF2B5EF4-FFF2-40B4-BE49-F238E27FC236}">
              <a16:creationId xmlns:a16="http://schemas.microsoft.com/office/drawing/2014/main" id="{00000000-0008-0000-0500-000008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65" name="Text Box 3">
          <a:extLst>
            <a:ext uri="{FF2B5EF4-FFF2-40B4-BE49-F238E27FC236}">
              <a16:creationId xmlns:a16="http://schemas.microsoft.com/office/drawing/2014/main" id="{00000000-0008-0000-0500-00000901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6" name="Text Box 3">
          <a:extLst>
            <a:ext uri="{FF2B5EF4-FFF2-40B4-BE49-F238E27FC236}">
              <a16:creationId xmlns:a16="http://schemas.microsoft.com/office/drawing/2014/main" id="{00000000-0008-0000-0500-00000A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7" name="Text Box 3">
          <a:extLst>
            <a:ext uri="{FF2B5EF4-FFF2-40B4-BE49-F238E27FC236}">
              <a16:creationId xmlns:a16="http://schemas.microsoft.com/office/drawing/2014/main" id="{00000000-0008-0000-0500-00000B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8" name="Text Box 3">
          <a:extLst>
            <a:ext uri="{FF2B5EF4-FFF2-40B4-BE49-F238E27FC236}">
              <a16:creationId xmlns:a16="http://schemas.microsoft.com/office/drawing/2014/main" id="{00000000-0008-0000-0500-00000C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9" name="Text Box 3">
          <a:extLst>
            <a:ext uri="{FF2B5EF4-FFF2-40B4-BE49-F238E27FC236}">
              <a16:creationId xmlns:a16="http://schemas.microsoft.com/office/drawing/2014/main" id="{00000000-0008-0000-0500-00000D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70" name="Text Box 3">
          <a:extLst>
            <a:ext uri="{FF2B5EF4-FFF2-40B4-BE49-F238E27FC236}">
              <a16:creationId xmlns:a16="http://schemas.microsoft.com/office/drawing/2014/main" id="{00000000-0008-0000-0500-00000E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71" name="Text Box 3">
          <a:extLst>
            <a:ext uri="{FF2B5EF4-FFF2-40B4-BE49-F238E27FC236}">
              <a16:creationId xmlns:a16="http://schemas.microsoft.com/office/drawing/2014/main" id="{00000000-0008-0000-0500-00000F01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72" name="Text Box 3">
          <a:extLst>
            <a:ext uri="{FF2B5EF4-FFF2-40B4-BE49-F238E27FC236}">
              <a16:creationId xmlns:a16="http://schemas.microsoft.com/office/drawing/2014/main" id="{00000000-0008-0000-0500-000010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462</xdr:row>
      <xdr:rowOff>0</xdr:rowOff>
    </xdr:from>
    <xdr:ext cx="76200" cy="200025"/>
    <xdr:sp macro="" textlink="">
      <xdr:nvSpPr>
        <xdr:cNvPr id="273" name="Text Box 3">
          <a:extLst>
            <a:ext uri="{FF2B5EF4-FFF2-40B4-BE49-F238E27FC236}">
              <a16:creationId xmlns:a16="http://schemas.microsoft.com/office/drawing/2014/main" id="{00000000-0008-0000-0500-000011010000}"/>
            </a:ext>
          </a:extLst>
        </xdr:cNvPr>
        <xdr:cNvSpPr txBox="1">
          <a:spLocks noChangeArrowheads="1"/>
        </xdr:cNvSpPr>
      </xdr:nvSpPr>
      <xdr:spPr bwMode="auto">
        <a:xfrm>
          <a:off x="4257675" y="65703450"/>
          <a:ext cx="76200" cy="200025"/>
        </a:xfrm>
        <a:prstGeom prst="rect">
          <a:avLst/>
        </a:prstGeom>
        <a:noFill/>
        <a:ln w="9525">
          <a:noFill/>
          <a:miter lim="800000"/>
          <a:headEnd/>
          <a:tailEnd/>
        </a:ln>
      </xdr:spPr>
    </xdr:sp>
    <xdr:clientData/>
  </xdr:oneCellAnchor>
  <xdr:oneCellAnchor>
    <xdr:from>
      <xdr:col>0</xdr:col>
      <xdr:colOff>0</xdr:colOff>
      <xdr:row>462</xdr:row>
      <xdr:rowOff>0</xdr:rowOff>
    </xdr:from>
    <xdr:ext cx="28575" cy="104775"/>
    <xdr:sp macro="" textlink="">
      <xdr:nvSpPr>
        <xdr:cNvPr id="274" name="Text Box 4">
          <a:extLst>
            <a:ext uri="{FF2B5EF4-FFF2-40B4-BE49-F238E27FC236}">
              <a16:creationId xmlns:a16="http://schemas.microsoft.com/office/drawing/2014/main" id="{00000000-0008-0000-0500-000012010000}"/>
            </a:ext>
          </a:extLst>
        </xdr:cNvPr>
        <xdr:cNvSpPr txBox="1">
          <a:spLocks noChangeArrowheads="1"/>
        </xdr:cNvSpPr>
      </xdr:nvSpPr>
      <xdr:spPr bwMode="auto">
        <a:xfrm>
          <a:off x="0" y="65703450"/>
          <a:ext cx="28575" cy="104775"/>
        </a:xfrm>
        <a:prstGeom prst="rect">
          <a:avLst/>
        </a:prstGeom>
        <a:noFill/>
        <a:ln w="9525">
          <a:noFill/>
          <a:miter lim="800000"/>
          <a:headEnd/>
          <a:tailEnd/>
        </a:ln>
      </xdr:spPr>
    </xdr:sp>
    <xdr:clientData/>
  </xdr:oneCellAnchor>
  <xdr:oneCellAnchor>
    <xdr:from>
      <xdr:col>6</xdr:col>
      <xdr:colOff>590550</xdr:colOff>
      <xdr:row>461</xdr:row>
      <xdr:rowOff>0</xdr:rowOff>
    </xdr:from>
    <xdr:ext cx="76200" cy="196850"/>
    <xdr:sp macro="" textlink="">
      <xdr:nvSpPr>
        <xdr:cNvPr id="275" name="Text Box 3">
          <a:extLst>
            <a:ext uri="{FF2B5EF4-FFF2-40B4-BE49-F238E27FC236}">
              <a16:creationId xmlns:a16="http://schemas.microsoft.com/office/drawing/2014/main" id="{00000000-0008-0000-0500-000013010000}"/>
            </a:ext>
          </a:extLst>
        </xdr:cNvPr>
        <xdr:cNvSpPr txBox="1">
          <a:spLocks noChangeArrowheads="1"/>
        </xdr:cNvSpPr>
      </xdr:nvSpPr>
      <xdr:spPr bwMode="auto">
        <a:xfrm>
          <a:off x="4257675" y="65503425"/>
          <a:ext cx="76200" cy="196850"/>
        </a:xfrm>
        <a:prstGeom prst="rect">
          <a:avLst/>
        </a:prstGeom>
        <a:noFill/>
        <a:ln w="9525">
          <a:noFill/>
          <a:miter lim="800000"/>
          <a:headEnd/>
          <a:tailEnd/>
        </a:ln>
      </xdr:spPr>
    </xdr:sp>
    <xdr:clientData/>
  </xdr:oneCellAnchor>
  <xdr:oneCellAnchor>
    <xdr:from>
      <xdr:col>0</xdr:col>
      <xdr:colOff>0</xdr:colOff>
      <xdr:row>461</xdr:row>
      <xdr:rowOff>0</xdr:rowOff>
    </xdr:from>
    <xdr:ext cx="28575" cy="104775"/>
    <xdr:sp macro="" textlink="">
      <xdr:nvSpPr>
        <xdr:cNvPr id="276" name="Text Box 4">
          <a:extLst>
            <a:ext uri="{FF2B5EF4-FFF2-40B4-BE49-F238E27FC236}">
              <a16:creationId xmlns:a16="http://schemas.microsoft.com/office/drawing/2014/main" id="{00000000-0008-0000-0500-000014010000}"/>
            </a:ext>
          </a:extLst>
        </xdr:cNvPr>
        <xdr:cNvSpPr txBox="1">
          <a:spLocks noChangeArrowheads="1"/>
        </xdr:cNvSpPr>
      </xdr:nvSpPr>
      <xdr:spPr bwMode="auto">
        <a:xfrm>
          <a:off x="0" y="65503425"/>
          <a:ext cx="28575" cy="10477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0" name="Text Box 3">
          <a:extLst>
            <a:ext uri="{FF2B5EF4-FFF2-40B4-BE49-F238E27FC236}">
              <a16:creationId xmlns:a16="http://schemas.microsoft.com/office/drawing/2014/main" id="{00000000-0008-0000-0500-000040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21" name="Text Box 3">
          <a:extLst>
            <a:ext uri="{FF2B5EF4-FFF2-40B4-BE49-F238E27FC236}">
              <a16:creationId xmlns:a16="http://schemas.microsoft.com/office/drawing/2014/main" id="{00000000-0008-0000-0500-000041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2" name="Text Box 3">
          <a:extLst>
            <a:ext uri="{FF2B5EF4-FFF2-40B4-BE49-F238E27FC236}">
              <a16:creationId xmlns:a16="http://schemas.microsoft.com/office/drawing/2014/main" id="{00000000-0008-0000-0500-000042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3" name="Text Box 3">
          <a:extLst>
            <a:ext uri="{FF2B5EF4-FFF2-40B4-BE49-F238E27FC236}">
              <a16:creationId xmlns:a16="http://schemas.microsoft.com/office/drawing/2014/main" id="{00000000-0008-0000-0500-000043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4" name="Text Box 3">
          <a:extLst>
            <a:ext uri="{FF2B5EF4-FFF2-40B4-BE49-F238E27FC236}">
              <a16:creationId xmlns:a16="http://schemas.microsoft.com/office/drawing/2014/main" id="{00000000-0008-0000-0500-000044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5" name="Text Box 3">
          <a:extLst>
            <a:ext uri="{FF2B5EF4-FFF2-40B4-BE49-F238E27FC236}">
              <a16:creationId xmlns:a16="http://schemas.microsoft.com/office/drawing/2014/main" id="{00000000-0008-0000-0500-000045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6" name="Text Box 3">
          <a:extLst>
            <a:ext uri="{FF2B5EF4-FFF2-40B4-BE49-F238E27FC236}">
              <a16:creationId xmlns:a16="http://schemas.microsoft.com/office/drawing/2014/main" id="{00000000-0008-0000-0500-000046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27" name="Text Box 3">
          <a:extLst>
            <a:ext uri="{FF2B5EF4-FFF2-40B4-BE49-F238E27FC236}">
              <a16:creationId xmlns:a16="http://schemas.microsoft.com/office/drawing/2014/main" id="{00000000-0008-0000-0500-000047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8" name="Text Box 3">
          <a:extLst>
            <a:ext uri="{FF2B5EF4-FFF2-40B4-BE49-F238E27FC236}">
              <a16:creationId xmlns:a16="http://schemas.microsoft.com/office/drawing/2014/main" id="{00000000-0008-0000-0500-000048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9" name="Text Box 3">
          <a:extLst>
            <a:ext uri="{FF2B5EF4-FFF2-40B4-BE49-F238E27FC236}">
              <a16:creationId xmlns:a16="http://schemas.microsoft.com/office/drawing/2014/main" id="{00000000-0008-0000-0500-000049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0" name="Text Box 3">
          <a:extLst>
            <a:ext uri="{FF2B5EF4-FFF2-40B4-BE49-F238E27FC236}">
              <a16:creationId xmlns:a16="http://schemas.microsoft.com/office/drawing/2014/main" id="{00000000-0008-0000-0500-00004A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1" name="Text Box 3">
          <a:extLst>
            <a:ext uri="{FF2B5EF4-FFF2-40B4-BE49-F238E27FC236}">
              <a16:creationId xmlns:a16="http://schemas.microsoft.com/office/drawing/2014/main" id="{00000000-0008-0000-0500-00004B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2" name="Text Box 3">
          <a:extLst>
            <a:ext uri="{FF2B5EF4-FFF2-40B4-BE49-F238E27FC236}">
              <a16:creationId xmlns:a16="http://schemas.microsoft.com/office/drawing/2014/main" id="{00000000-0008-0000-0500-00004C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33" name="Text Box 3">
          <a:extLst>
            <a:ext uri="{FF2B5EF4-FFF2-40B4-BE49-F238E27FC236}">
              <a16:creationId xmlns:a16="http://schemas.microsoft.com/office/drawing/2014/main" id="{00000000-0008-0000-0500-00004D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4" name="Text Box 3">
          <a:extLst>
            <a:ext uri="{FF2B5EF4-FFF2-40B4-BE49-F238E27FC236}">
              <a16:creationId xmlns:a16="http://schemas.microsoft.com/office/drawing/2014/main" id="{00000000-0008-0000-0500-00004E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5" name="Text Box 3">
          <a:extLst>
            <a:ext uri="{FF2B5EF4-FFF2-40B4-BE49-F238E27FC236}">
              <a16:creationId xmlns:a16="http://schemas.microsoft.com/office/drawing/2014/main" id="{00000000-0008-0000-0500-00004F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6" name="Text Box 3">
          <a:extLst>
            <a:ext uri="{FF2B5EF4-FFF2-40B4-BE49-F238E27FC236}">
              <a16:creationId xmlns:a16="http://schemas.microsoft.com/office/drawing/2014/main" id="{00000000-0008-0000-0500-000050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7" name="Text Box 3">
          <a:extLst>
            <a:ext uri="{FF2B5EF4-FFF2-40B4-BE49-F238E27FC236}">
              <a16:creationId xmlns:a16="http://schemas.microsoft.com/office/drawing/2014/main" id="{00000000-0008-0000-0500-000051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8" name="Text Box 3">
          <a:extLst>
            <a:ext uri="{FF2B5EF4-FFF2-40B4-BE49-F238E27FC236}">
              <a16:creationId xmlns:a16="http://schemas.microsoft.com/office/drawing/2014/main" id="{00000000-0008-0000-0500-000052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39" name="Text Box 3">
          <a:extLst>
            <a:ext uri="{FF2B5EF4-FFF2-40B4-BE49-F238E27FC236}">
              <a16:creationId xmlns:a16="http://schemas.microsoft.com/office/drawing/2014/main" id="{00000000-0008-0000-0500-000053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0" name="Text Box 3">
          <a:extLst>
            <a:ext uri="{FF2B5EF4-FFF2-40B4-BE49-F238E27FC236}">
              <a16:creationId xmlns:a16="http://schemas.microsoft.com/office/drawing/2014/main" id="{00000000-0008-0000-0500-000054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1" name="Text Box 3">
          <a:extLst>
            <a:ext uri="{FF2B5EF4-FFF2-40B4-BE49-F238E27FC236}">
              <a16:creationId xmlns:a16="http://schemas.microsoft.com/office/drawing/2014/main" id="{00000000-0008-0000-0500-000055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2" name="Text Box 3">
          <a:extLst>
            <a:ext uri="{FF2B5EF4-FFF2-40B4-BE49-F238E27FC236}">
              <a16:creationId xmlns:a16="http://schemas.microsoft.com/office/drawing/2014/main" id="{00000000-0008-0000-0500-000056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3" name="Text Box 3">
          <a:extLst>
            <a:ext uri="{FF2B5EF4-FFF2-40B4-BE49-F238E27FC236}">
              <a16:creationId xmlns:a16="http://schemas.microsoft.com/office/drawing/2014/main" id="{00000000-0008-0000-0500-000057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4" name="Text Box 3">
          <a:extLst>
            <a:ext uri="{FF2B5EF4-FFF2-40B4-BE49-F238E27FC236}">
              <a16:creationId xmlns:a16="http://schemas.microsoft.com/office/drawing/2014/main" id="{00000000-0008-0000-0500-000058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45" name="Text Box 3">
          <a:extLst>
            <a:ext uri="{FF2B5EF4-FFF2-40B4-BE49-F238E27FC236}">
              <a16:creationId xmlns:a16="http://schemas.microsoft.com/office/drawing/2014/main" id="{00000000-0008-0000-0500-000059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6" name="Text Box 3">
          <a:extLst>
            <a:ext uri="{FF2B5EF4-FFF2-40B4-BE49-F238E27FC236}">
              <a16:creationId xmlns:a16="http://schemas.microsoft.com/office/drawing/2014/main" id="{00000000-0008-0000-0500-00005A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7" name="Text Box 3">
          <a:extLst>
            <a:ext uri="{FF2B5EF4-FFF2-40B4-BE49-F238E27FC236}">
              <a16:creationId xmlns:a16="http://schemas.microsoft.com/office/drawing/2014/main" id="{00000000-0008-0000-0500-00005B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8" name="Text Box 3">
          <a:extLst>
            <a:ext uri="{FF2B5EF4-FFF2-40B4-BE49-F238E27FC236}">
              <a16:creationId xmlns:a16="http://schemas.microsoft.com/office/drawing/2014/main" id="{00000000-0008-0000-0500-00005C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9" name="Text Box 3">
          <a:extLst>
            <a:ext uri="{FF2B5EF4-FFF2-40B4-BE49-F238E27FC236}">
              <a16:creationId xmlns:a16="http://schemas.microsoft.com/office/drawing/2014/main" id="{00000000-0008-0000-0500-00005D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0" name="Text Box 3">
          <a:extLst>
            <a:ext uri="{FF2B5EF4-FFF2-40B4-BE49-F238E27FC236}">
              <a16:creationId xmlns:a16="http://schemas.microsoft.com/office/drawing/2014/main" id="{00000000-0008-0000-0500-00005E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51" name="Text Box 3">
          <a:extLst>
            <a:ext uri="{FF2B5EF4-FFF2-40B4-BE49-F238E27FC236}">
              <a16:creationId xmlns:a16="http://schemas.microsoft.com/office/drawing/2014/main" id="{00000000-0008-0000-0500-00005F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2" name="Text Box 3">
          <a:extLst>
            <a:ext uri="{FF2B5EF4-FFF2-40B4-BE49-F238E27FC236}">
              <a16:creationId xmlns:a16="http://schemas.microsoft.com/office/drawing/2014/main" id="{00000000-0008-0000-0500-000060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3" name="Text Box 3">
          <a:extLst>
            <a:ext uri="{FF2B5EF4-FFF2-40B4-BE49-F238E27FC236}">
              <a16:creationId xmlns:a16="http://schemas.microsoft.com/office/drawing/2014/main" id="{00000000-0008-0000-0500-000061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4" name="Text Box 3">
          <a:extLst>
            <a:ext uri="{FF2B5EF4-FFF2-40B4-BE49-F238E27FC236}">
              <a16:creationId xmlns:a16="http://schemas.microsoft.com/office/drawing/2014/main" id="{00000000-0008-0000-0500-000062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5" name="Text Box 3">
          <a:extLst>
            <a:ext uri="{FF2B5EF4-FFF2-40B4-BE49-F238E27FC236}">
              <a16:creationId xmlns:a16="http://schemas.microsoft.com/office/drawing/2014/main" id="{00000000-0008-0000-0500-000063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6" name="Text Box 3">
          <a:extLst>
            <a:ext uri="{FF2B5EF4-FFF2-40B4-BE49-F238E27FC236}">
              <a16:creationId xmlns:a16="http://schemas.microsoft.com/office/drawing/2014/main" id="{00000000-0008-0000-0500-000064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57" name="Text Box 3">
          <a:extLst>
            <a:ext uri="{FF2B5EF4-FFF2-40B4-BE49-F238E27FC236}">
              <a16:creationId xmlns:a16="http://schemas.microsoft.com/office/drawing/2014/main" id="{00000000-0008-0000-0500-000065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8" name="Text Box 3">
          <a:extLst>
            <a:ext uri="{FF2B5EF4-FFF2-40B4-BE49-F238E27FC236}">
              <a16:creationId xmlns:a16="http://schemas.microsoft.com/office/drawing/2014/main" id="{00000000-0008-0000-0500-000066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520</xdr:row>
      <xdr:rowOff>0</xdr:rowOff>
    </xdr:from>
    <xdr:ext cx="76200" cy="200025"/>
    <xdr:sp macro="" textlink="">
      <xdr:nvSpPr>
        <xdr:cNvPr id="359" name="Text Box 3">
          <a:extLst>
            <a:ext uri="{FF2B5EF4-FFF2-40B4-BE49-F238E27FC236}">
              <a16:creationId xmlns:a16="http://schemas.microsoft.com/office/drawing/2014/main" id="{00000000-0008-0000-0500-000067010000}"/>
            </a:ext>
          </a:extLst>
        </xdr:cNvPr>
        <xdr:cNvSpPr txBox="1">
          <a:spLocks noChangeArrowheads="1"/>
        </xdr:cNvSpPr>
      </xdr:nvSpPr>
      <xdr:spPr bwMode="auto">
        <a:xfrm>
          <a:off x="4257675" y="75161775"/>
          <a:ext cx="76200" cy="200025"/>
        </a:xfrm>
        <a:prstGeom prst="rect">
          <a:avLst/>
        </a:prstGeom>
        <a:noFill/>
        <a:ln w="9525">
          <a:noFill/>
          <a:miter lim="800000"/>
          <a:headEnd/>
          <a:tailEnd/>
        </a:ln>
      </xdr:spPr>
    </xdr:sp>
    <xdr:clientData/>
  </xdr:oneCellAnchor>
  <xdr:oneCellAnchor>
    <xdr:from>
      <xdr:col>0</xdr:col>
      <xdr:colOff>0</xdr:colOff>
      <xdr:row>520</xdr:row>
      <xdr:rowOff>0</xdr:rowOff>
    </xdr:from>
    <xdr:ext cx="28575" cy="104775"/>
    <xdr:sp macro="" textlink="">
      <xdr:nvSpPr>
        <xdr:cNvPr id="360" name="Text Box 4">
          <a:extLst>
            <a:ext uri="{FF2B5EF4-FFF2-40B4-BE49-F238E27FC236}">
              <a16:creationId xmlns:a16="http://schemas.microsoft.com/office/drawing/2014/main" id="{00000000-0008-0000-0500-000068010000}"/>
            </a:ext>
          </a:extLst>
        </xdr:cNvPr>
        <xdr:cNvSpPr txBox="1">
          <a:spLocks noChangeArrowheads="1"/>
        </xdr:cNvSpPr>
      </xdr:nvSpPr>
      <xdr:spPr bwMode="auto">
        <a:xfrm>
          <a:off x="0" y="75161775"/>
          <a:ext cx="28575" cy="104775"/>
        </a:xfrm>
        <a:prstGeom prst="rect">
          <a:avLst/>
        </a:prstGeom>
        <a:noFill/>
        <a:ln w="9525">
          <a:noFill/>
          <a:miter lim="800000"/>
          <a:headEnd/>
          <a:tailEnd/>
        </a:ln>
      </xdr:spPr>
    </xdr:sp>
    <xdr:clientData/>
  </xdr:oneCellAnchor>
  <xdr:oneCellAnchor>
    <xdr:from>
      <xdr:col>6</xdr:col>
      <xdr:colOff>590550</xdr:colOff>
      <xdr:row>519</xdr:row>
      <xdr:rowOff>0</xdr:rowOff>
    </xdr:from>
    <xdr:ext cx="76200" cy="196850"/>
    <xdr:sp macro="" textlink="">
      <xdr:nvSpPr>
        <xdr:cNvPr id="361" name="Text Box 3">
          <a:extLst>
            <a:ext uri="{FF2B5EF4-FFF2-40B4-BE49-F238E27FC236}">
              <a16:creationId xmlns:a16="http://schemas.microsoft.com/office/drawing/2014/main" id="{00000000-0008-0000-0500-000069010000}"/>
            </a:ext>
          </a:extLst>
        </xdr:cNvPr>
        <xdr:cNvSpPr txBox="1">
          <a:spLocks noChangeArrowheads="1"/>
        </xdr:cNvSpPr>
      </xdr:nvSpPr>
      <xdr:spPr bwMode="auto">
        <a:xfrm>
          <a:off x="4257675" y="74961750"/>
          <a:ext cx="76200" cy="196850"/>
        </a:xfrm>
        <a:prstGeom prst="rect">
          <a:avLst/>
        </a:prstGeom>
        <a:noFill/>
        <a:ln w="9525">
          <a:noFill/>
          <a:miter lim="800000"/>
          <a:headEnd/>
          <a:tailEnd/>
        </a:ln>
      </xdr:spPr>
    </xdr:sp>
    <xdr:clientData/>
  </xdr:oneCellAnchor>
  <xdr:oneCellAnchor>
    <xdr:from>
      <xdr:col>0</xdr:col>
      <xdr:colOff>0</xdr:colOff>
      <xdr:row>519</xdr:row>
      <xdr:rowOff>0</xdr:rowOff>
    </xdr:from>
    <xdr:ext cx="28575" cy="104775"/>
    <xdr:sp macro="" textlink="">
      <xdr:nvSpPr>
        <xdr:cNvPr id="362" name="Text Box 4">
          <a:extLst>
            <a:ext uri="{FF2B5EF4-FFF2-40B4-BE49-F238E27FC236}">
              <a16:creationId xmlns:a16="http://schemas.microsoft.com/office/drawing/2014/main" id="{00000000-0008-0000-0500-00006A010000}"/>
            </a:ext>
          </a:extLst>
        </xdr:cNvPr>
        <xdr:cNvSpPr txBox="1">
          <a:spLocks noChangeArrowheads="1"/>
        </xdr:cNvSpPr>
      </xdr:nvSpPr>
      <xdr:spPr bwMode="auto">
        <a:xfrm>
          <a:off x="0" y="74961750"/>
          <a:ext cx="28575" cy="10477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06" name="Text Box 3">
          <a:extLst>
            <a:ext uri="{FF2B5EF4-FFF2-40B4-BE49-F238E27FC236}">
              <a16:creationId xmlns:a16="http://schemas.microsoft.com/office/drawing/2014/main" id="{00000000-0008-0000-0500-000096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07" name="Text Box 3">
          <a:extLst>
            <a:ext uri="{FF2B5EF4-FFF2-40B4-BE49-F238E27FC236}">
              <a16:creationId xmlns:a16="http://schemas.microsoft.com/office/drawing/2014/main" id="{00000000-0008-0000-0500-000097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08" name="Text Box 3">
          <a:extLst>
            <a:ext uri="{FF2B5EF4-FFF2-40B4-BE49-F238E27FC236}">
              <a16:creationId xmlns:a16="http://schemas.microsoft.com/office/drawing/2014/main" id="{00000000-0008-0000-0500-000098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09" name="Text Box 3">
          <a:extLst>
            <a:ext uri="{FF2B5EF4-FFF2-40B4-BE49-F238E27FC236}">
              <a16:creationId xmlns:a16="http://schemas.microsoft.com/office/drawing/2014/main" id="{00000000-0008-0000-0500-000099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0" name="Text Box 3">
          <a:extLst>
            <a:ext uri="{FF2B5EF4-FFF2-40B4-BE49-F238E27FC236}">
              <a16:creationId xmlns:a16="http://schemas.microsoft.com/office/drawing/2014/main" id="{00000000-0008-0000-0500-00009A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1" name="Text Box 3">
          <a:extLst>
            <a:ext uri="{FF2B5EF4-FFF2-40B4-BE49-F238E27FC236}">
              <a16:creationId xmlns:a16="http://schemas.microsoft.com/office/drawing/2014/main" id="{00000000-0008-0000-0500-00009B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2" name="Text Box 3">
          <a:extLst>
            <a:ext uri="{FF2B5EF4-FFF2-40B4-BE49-F238E27FC236}">
              <a16:creationId xmlns:a16="http://schemas.microsoft.com/office/drawing/2014/main" id="{00000000-0008-0000-0500-00009C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13" name="Text Box 3">
          <a:extLst>
            <a:ext uri="{FF2B5EF4-FFF2-40B4-BE49-F238E27FC236}">
              <a16:creationId xmlns:a16="http://schemas.microsoft.com/office/drawing/2014/main" id="{00000000-0008-0000-0500-00009D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4" name="Text Box 3">
          <a:extLst>
            <a:ext uri="{FF2B5EF4-FFF2-40B4-BE49-F238E27FC236}">
              <a16:creationId xmlns:a16="http://schemas.microsoft.com/office/drawing/2014/main" id="{00000000-0008-0000-0500-00009E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5" name="Text Box 3">
          <a:extLst>
            <a:ext uri="{FF2B5EF4-FFF2-40B4-BE49-F238E27FC236}">
              <a16:creationId xmlns:a16="http://schemas.microsoft.com/office/drawing/2014/main" id="{00000000-0008-0000-0500-00009F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6" name="Text Box 3">
          <a:extLst>
            <a:ext uri="{FF2B5EF4-FFF2-40B4-BE49-F238E27FC236}">
              <a16:creationId xmlns:a16="http://schemas.microsoft.com/office/drawing/2014/main" id="{00000000-0008-0000-0500-0000A0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7" name="Text Box 3">
          <a:extLst>
            <a:ext uri="{FF2B5EF4-FFF2-40B4-BE49-F238E27FC236}">
              <a16:creationId xmlns:a16="http://schemas.microsoft.com/office/drawing/2014/main" id="{00000000-0008-0000-0500-0000A1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8" name="Text Box 3">
          <a:extLst>
            <a:ext uri="{FF2B5EF4-FFF2-40B4-BE49-F238E27FC236}">
              <a16:creationId xmlns:a16="http://schemas.microsoft.com/office/drawing/2014/main" id="{00000000-0008-0000-0500-0000A2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19" name="Text Box 3">
          <a:extLst>
            <a:ext uri="{FF2B5EF4-FFF2-40B4-BE49-F238E27FC236}">
              <a16:creationId xmlns:a16="http://schemas.microsoft.com/office/drawing/2014/main" id="{00000000-0008-0000-0500-0000A3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0" name="Text Box 3">
          <a:extLst>
            <a:ext uri="{FF2B5EF4-FFF2-40B4-BE49-F238E27FC236}">
              <a16:creationId xmlns:a16="http://schemas.microsoft.com/office/drawing/2014/main" id="{00000000-0008-0000-0500-0000A4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1" name="Text Box 3">
          <a:extLst>
            <a:ext uri="{FF2B5EF4-FFF2-40B4-BE49-F238E27FC236}">
              <a16:creationId xmlns:a16="http://schemas.microsoft.com/office/drawing/2014/main" id="{00000000-0008-0000-0500-0000A5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2" name="Text Box 3">
          <a:extLst>
            <a:ext uri="{FF2B5EF4-FFF2-40B4-BE49-F238E27FC236}">
              <a16:creationId xmlns:a16="http://schemas.microsoft.com/office/drawing/2014/main" id="{00000000-0008-0000-0500-0000A6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3" name="Text Box 3">
          <a:extLst>
            <a:ext uri="{FF2B5EF4-FFF2-40B4-BE49-F238E27FC236}">
              <a16:creationId xmlns:a16="http://schemas.microsoft.com/office/drawing/2014/main" id="{00000000-0008-0000-0500-0000A7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4" name="Text Box 3">
          <a:extLst>
            <a:ext uri="{FF2B5EF4-FFF2-40B4-BE49-F238E27FC236}">
              <a16:creationId xmlns:a16="http://schemas.microsoft.com/office/drawing/2014/main" id="{00000000-0008-0000-0500-0000A8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25" name="Text Box 3">
          <a:extLst>
            <a:ext uri="{FF2B5EF4-FFF2-40B4-BE49-F238E27FC236}">
              <a16:creationId xmlns:a16="http://schemas.microsoft.com/office/drawing/2014/main" id="{00000000-0008-0000-0500-0000A9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6" name="Text Box 3">
          <a:extLst>
            <a:ext uri="{FF2B5EF4-FFF2-40B4-BE49-F238E27FC236}">
              <a16:creationId xmlns:a16="http://schemas.microsoft.com/office/drawing/2014/main" id="{00000000-0008-0000-0500-0000AA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7" name="Text Box 3">
          <a:extLst>
            <a:ext uri="{FF2B5EF4-FFF2-40B4-BE49-F238E27FC236}">
              <a16:creationId xmlns:a16="http://schemas.microsoft.com/office/drawing/2014/main" id="{00000000-0008-0000-0500-0000AB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8" name="Text Box 3">
          <a:extLst>
            <a:ext uri="{FF2B5EF4-FFF2-40B4-BE49-F238E27FC236}">
              <a16:creationId xmlns:a16="http://schemas.microsoft.com/office/drawing/2014/main" id="{00000000-0008-0000-0500-0000AC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9" name="Text Box 3">
          <a:extLst>
            <a:ext uri="{FF2B5EF4-FFF2-40B4-BE49-F238E27FC236}">
              <a16:creationId xmlns:a16="http://schemas.microsoft.com/office/drawing/2014/main" id="{00000000-0008-0000-0500-0000AD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0" name="Text Box 3">
          <a:extLst>
            <a:ext uri="{FF2B5EF4-FFF2-40B4-BE49-F238E27FC236}">
              <a16:creationId xmlns:a16="http://schemas.microsoft.com/office/drawing/2014/main" id="{00000000-0008-0000-0500-0000AE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31" name="Text Box 3">
          <a:extLst>
            <a:ext uri="{FF2B5EF4-FFF2-40B4-BE49-F238E27FC236}">
              <a16:creationId xmlns:a16="http://schemas.microsoft.com/office/drawing/2014/main" id="{00000000-0008-0000-0500-0000AF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2" name="Text Box 3">
          <a:extLst>
            <a:ext uri="{FF2B5EF4-FFF2-40B4-BE49-F238E27FC236}">
              <a16:creationId xmlns:a16="http://schemas.microsoft.com/office/drawing/2014/main" id="{00000000-0008-0000-0500-0000B0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3" name="Text Box 3">
          <a:extLst>
            <a:ext uri="{FF2B5EF4-FFF2-40B4-BE49-F238E27FC236}">
              <a16:creationId xmlns:a16="http://schemas.microsoft.com/office/drawing/2014/main" id="{00000000-0008-0000-0500-0000B1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4" name="Text Box 3">
          <a:extLst>
            <a:ext uri="{FF2B5EF4-FFF2-40B4-BE49-F238E27FC236}">
              <a16:creationId xmlns:a16="http://schemas.microsoft.com/office/drawing/2014/main" id="{00000000-0008-0000-0500-0000B2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5" name="Text Box 3">
          <a:extLst>
            <a:ext uri="{FF2B5EF4-FFF2-40B4-BE49-F238E27FC236}">
              <a16:creationId xmlns:a16="http://schemas.microsoft.com/office/drawing/2014/main" id="{00000000-0008-0000-0500-0000B3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6" name="Text Box 3">
          <a:extLst>
            <a:ext uri="{FF2B5EF4-FFF2-40B4-BE49-F238E27FC236}">
              <a16:creationId xmlns:a16="http://schemas.microsoft.com/office/drawing/2014/main" id="{00000000-0008-0000-0500-0000B4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37" name="Text Box 3">
          <a:extLst>
            <a:ext uri="{FF2B5EF4-FFF2-40B4-BE49-F238E27FC236}">
              <a16:creationId xmlns:a16="http://schemas.microsoft.com/office/drawing/2014/main" id="{00000000-0008-0000-0500-0000B5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8" name="Text Box 3">
          <a:extLst>
            <a:ext uri="{FF2B5EF4-FFF2-40B4-BE49-F238E27FC236}">
              <a16:creationId xmlns:a16="http://schemas.microsoft.com/office/drawing/2014/main" id="{00000000-0008-0000-0500-0000B6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9" name="Text Box 3">
          <a:extLst>
            <a:ext uri="{FF2B5EF4-FFF2-40B4-BE49-F238E27FC236}">
              <a16:creationId xmlns:a16="http://schemas.microsoft.com/office/drawing/2014/main" id="{00000000-0008-0000-0500-0000B7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0" name="Text Box 3">
          <a:extLst>
            <a:ext uri="{FF2B5EF4-FFF2-40B4-BE49-F238E27FC236}">
              <a16:creationId xmlns:a16="http://schemas.microsoft.com/office/drawing/2014/main" id="{00000000-0008-0000-0500-0000B8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1" name="Text Box 3">
          <a:extLst>
            <a:ext uri="{FF2B5EF4-FFF2-40B4-BE49-F238E27FC236}">
              <a16:creationId xmlns:a16="http://schemas.microsoft.com/office/drawing/2014/main" id="{00000000-0008-0000-0500-0000B9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2" name="Text Box 3">
          <a:extLst>
            <a:ext uri="{FF2B5EF4-FFF2-40B4-BE49-F238E27FC236}">
              <a16:creationId xmlns:a16="http://schemas.microsoft.com/office/drawing/2014/main" id="{00000000-0008-0000-0500-0000BA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43" name="Text Box 3">
          <a:extLst>
            <a:ext uri="{FF2B5EF4-FFF2-40B4-BE49-F238E27FC236}">
              <a16:creationId xmlns:a16="http://schemas.microsoft.com/office/drawing/2014/main" id="{00000000-0008-0000-0500-0000BB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4" name="Text Box 3">
          <a:extLst>
            <a:ext uri="{FF2B5EF4-FFF2-40B4-BE49-F238E27FC236}">
              <a16:creationId xmlns:a16="http://schemas.microsoft.com/office/drawing/2014/main" id="{00000000-0008-0000-0500-0000BC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578</xdr:row>
      <xdr:rowOff>0</xdr:rowOff>
    </xdr:from>
    <xdr:ext cx="76200" cy="200025"/>
    <xdr:sp macro="" textlink="">
      <xdr:nvSpPr>
        <xdr:cNvPr id="445" name="Text Box 3">
          <a:extLst>
            <a:ext uri="{FF2B5EF4-FFF2-40B4-BE49-F238E27FC236}">
              <a16:creationId xmlns:a16="http://schemas.microsoft.com/office/drawing/2014/main" id="{00000000-0008-0000-0500-0000BD010000}"/>
            </a:ext>
          </a:extLst>
        </xdr:cNvPr>
        <xdr:cNvSpPr txBox="1">
          <a:spLocks noChangeArrowheads="1"/>
        </xdr:cNvSpPr>
      </xdr:nvSpPr>
      <xdr:spPr bwMode="auto">
        <a:xfrm>
          <a:off x="4257675" y="84620100"/>
          <a:ext cx="76200" cy="200025"/>
        </a:xfrm>
        <a:prstGeom prst="rect">
          <a:avLst/>
        </a:prstGeom>
        <a:noFill/>
        <a:ln w="9525">
          <a:noFill/>
          <a:miter lim="800000"/>
          <a:headEnd/>
          <a:tailEnd/>
        </a:ln>
      </xdr:spPr>
    </xdr:sp>
    <xdr:clientData/>
  </xdr:oneCellAnchor>
  <xdr:oneCellAnchor>
    <xdr:from>
      <xdr:col>0</xdr:col>
      <xdr:colOff>0</xdr:colOff>
      <xdr:row>578</xdr:row>
      <xdr:rowOff>0</xdr:rowOff>
    </xdr:from>
    <xdr:ext cx="28575" cy="104775"/>
    <xdr:sp macro="" textlink="">
      <xdr:nvSpPr>
        <xdr:cNvPr id="446" name="Text Box 4">
          <a:extLst>
            <a:ext uri="{FF2B5EF4-FFF2-40B4-BE49-F238E27FC236}">
              <a16:creationId xmlns:a16="http://schemas.microsoft.com/office/drawing/2014/main" id="{00000000-0008-0000-0500-0000BE010000}"/>
            </a:ext>
          </a:extLst>
        </xdr:cNvPr>
        <xdr:cNvSpPr txBox="1">
          <a:spLocks noChangeArrowheads="1"/>
        </xdr:cNvSpPr>
      </xdr:nvSpPr>
      <xdr:spPr bwMode="auto">
        <a:xfrm>
          <a:off x="0" y="94078425"/>
          <a:ext cx="28575" cy="104775"/>
        </a:xfrm>
        <a:prstGeom prst="rect">
          <a:avLst/>
        </a:prstGeom>
        <a:noFill/>
        <a:ln w="9525">
          <a:noFill/>
          <a:miter lim="800000"/>
          <a:headEnd/>
          <a:tailEnd/>
        </a:ln>
      </xdr:spPr>
    </xdr:sp>
    <xdr:clientData/>
  </xdr:oneCellAnchor>
  <xdr:oneCellAnchor>
    <xdr:from>
      <xdr:col>6</xdr:col>
      <xdr:colOff>590550</xdr:colOff>
      <xdr:row>577</xdr:row>
      <xdr:rowOff>0</xdr:rowOff>
    </xdr:from>
    <xdr:ext cx="76200" cy="196850"/>
    <xdr:sp macro="" textlink="">
      <xdr:nvSpPr>
        <xdr:cNvPr id="447" name="Text Box 3">
          <a:extLst>
            <a:ext uri="{FF2B5EF4-FFF2-40B4-BE49-F238E27FC236}">
              <a16:creationId xmlns:a16="http://schemas.microsoft.com/office/drawing/2014/main" id="{00000000-0008-0000-0500-0000BF010000}"/>
            </a:ext>
          </a:extLst>
        </xdr:cNvPr>
        <xdr:cNvSpPr txBox="1">
          <a:spLocks noChangeArrowheads="1"/>
        </xdr:cNvSpPr>
      </xdr:nvSpPr>
      <xdr:spPr bwMode="auto">
        <a:xfrm>
          <a:off x="4257675" y="84420075"/>
          <a:ext cx="76200" cy="196850"/>
        </a:xfrm>
        <a:prstGeom prst="rect">
          <a:avLst/>
        </a:prstGeom>
        <a:noFill/>
        <a:ln w="9525">
          <a:noFill/>
          <a:miter lim="800000"/>
          <a:headEnd/>
          <a:tailEnd/>
        </a:ln>
      </xdr:spPr>
    </xdr:sp>
    <xdr:clientData/>
  </xdr:oneCellAnchor>
  <xdr:oneCellAnchor>
    <xdr:from>
      <xdr:col>0</xdr:col>
      <xdr:colOff>0</xdr:colOff>
      <xdr:row>577</xdr:row>
      <xdr:rowOff>0</xdr:rowOff>
    </xdr:from>
    <xdr:ext cx="28575" cy="104775"/>
    <xdr:sp macro="" textlink="">
      <xdr:nvSpPr>
        <xdr:cNvPr id="448" name="Text Box 4">
          <a:extLst>
            <a:ext uri="{FF2B5EF4-FFF2-40B4-BE49-F238E27FC236}">
              <a16:creationId xmlns:a16="http://schemas.microsoft.com/office/drawing/2014/main" id="{00000000-0008-0000-0500-0000C0010000}"/>
            </a:ext>
          </a:extLst>
        </xdr:cNvPr>
        <xdr:cNvSpPr txBox="1">
          <a:spLocks noChangeArrowheads="1"/>
        </xdr:cNvSpPr>
      </xdr:nvSpPr>
      <xdr:spPr bwMode="auto">
        <a:xfrm>
          <a:off x="0" y="84420075"/>
          <a:ext cx="28575" cy="10477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49" name="Text Box 3">
          <a:extLst>
            <a:ext uri="{FF2B5EF4-FFF2-40B4-BE49-F238E27FC236}">
              <a16:creationId xmlns:a16="http://schemas.microsoft.com/office/drawing/2014/main" id="{00000000-0008-0000-0500-0000C1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50" name="Text Box 3">
          <a:extLst>
            <a:ext uri="{FF2B5EF4-FFF2-40B4-BE49-F238E27FC236}">
              <a16:creationId xmlns:a16="http://schemas.microsoft.com/office/drawing/2014/main" id="{00000000-0008-0000-0500-0000C2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1" name="Text Box 3">
          <a:extLst>
            <a:ext uri="{FF2B5EF4-FFF2-40B4-BE49-F238E27FC236}">
              <a16:creationId xmlns:a16="http://schemas.microsoft.com/office/drawing/2014/main" id="{00000000-0008-0000-0500-0000C3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2" name="Text Box 3">
          <a:extLst>
            <a:ext uri="{FF2B5EF4-FFF2-40B4-BE49-F238E27FC236}">
              <a16:creationId xmlns:a16="http://schemas.microsoft.com/office/drawing/2014/main" id="{00000000-0008-0000-0500-0000C4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3" name="Text Box 3">
          <a:extLst>
            <a:ext uri="{FF2B5EF4-FFF2-40B4-BE49-F238E27FC236}">
              <a16:creationId xmlns:a16="http://schemas.microsoft.com/office/drawing/2014/main" id="{00000000-0008-0000-0500-0000C5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4" name="Text Box 3">
          <a:extLst>
            <a:ext uri="{FF2B5EF4-FFF2-40B4-BE49-F238E27FC236}">
              <a16:creationId xmlns:a16="http://schemas.microsoft.com/office/drawing/2014/main" id="{00000000-0008-0000-0500-0000C6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5" name="Text Box 3">
          <a:extLst>
            <a:ext uri="{FF2B5EF4-FFF2-40B4-BE49-F238E27FC236}">
              <a16:creationId xmlns:a16="http://schemas.microsoft.com/office/drawing/2014/main" id="{00000000-0008-0000-0500-0000C7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56" name="Text Box 3">
          <a:extLst>
            <a:ext uri="{FF2B5EF4-FFF2-40B4-BE49-F238E27FC236}">
              <a16:creationId xmlns:a16="http://schemas.microsoft.com/office/drawing/2014/main" id="{00000000-0008-0000-0500-0000C8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7" name="Text Box 3">
          <a:extLst>
            <a:ext uri="{FF2B5EF4-FFF2-40B4-BE49-F238E27FC236}">
              <a16:creationId xmlns:a16="http://schemas.microsoft.com/office/drawing/2014/main" id="{00000000-0008-0000-0500-0000C9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8" name="Text Box 3">
          <a:extLst>
            <a:ext uri="{FF2B5EF4-FFF2-40B4-BE49-F238E27FC236}">
              <a16:creationId xmlns:a16="http://schemas.microsoft.com/office/drawing/2014/main" id="{00000000-0008-0000-0500-0000CA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9" name="Text Box 3">
          <a:extLst>
            <a:ext uri="{FF2B5EF4-FFF2-40B4-BE49-F238E27FC236}">
              <a16:creationId xmlns:a16="http://schemas.microsoft.com/office/drawing/2014/main" id="{00000000-0008-0000-0500-0000CB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0" name="Text Box 3">
          <a:extLst>
            <a:ext uri="{FF2B5EF4-FFF2-40B4-BE49-F238E27FC236}">
              <a16:creationId xmlns:a16="http://schemas.microsoft.com/office/drawing/2014/main" id="{00000000-0008-0000-0500-0000CC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1" name="Text Box 3">
          <a:extLst>
            <a:ext uri="{FF2B5EF4-FFF2-40B4-BE49-F238E27FC236}">
              <a16:creationId xmlns:a16="http://schemas.microsoft.com/office/drawing/2014/main" id="{00000000-0008-0000-0500-0000CD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62" name="Text Box 3">
          <a:extLst>
            <a:ext uri="{FF2B5EF4-FFF2-40B4-BE49-F238E27FC236}">
              <a16:creationId xmlns:a16="http://schemas.microsoft.com/office/drawing/2014/main" id="{00000000-0008-0000-0500-0000CE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3" name="Text Box 3">
          <a:extLst>
            <a:ext uri="{FF2B5EF4-FFF2-40B4-BE49-F238E27FC236}">
              <a16:creationId xmlns:a16="http://schemas.microsoft.com/office/drawing/2014/main" id="{00000000-0008-0000-0500-0000CF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4" name="Text Box 3">
          <a:extLst>
            <a:ext uri="{FF2B5EF4-FFF2-40B4-BE49-F238E27FC236}">
              <a16:creationId xmlns:a16="http://schemas.microsoft.com/office/drawing/2014/main" id="{00000000-0008-0000-0500-0000D0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5" name="Text Box 3">
          <a:extLst>
            <a:ext uri="{FF2B5EF4-FFF2-40B4-BE49-F238E27FC236}">
              <a16:creationId xmlns:a16="http://schemas.microsoft.com/office/drawing/2014/main" id="{00000000-0008-0000-0500-0000D1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6" name="Text Box 3">
          <a:extLst>
            <a:ext uri="{FF2B5EF4-FFF2-40B4-BE49-F238E27FC236}">
              <a16:creationId xmlns:a16="http://schemas.microsoft.com/office/drawing/2014/main" id="{00000000-0008-0000-0500-0000D2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7" name="Text Box 3">
          <a:extLst>
            <a:ext uri="{FF2B5EF4-FFF2-40B4-BE49-F238E27FC236}">
              <a16:creationId xmlns:a16="http://schemas.microsoft.com/office/drawing/2014/main" id="{00000000-0008-0000-0500-0000D3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68" name="Text Box 3">
          <a:extLst>
            <a:ext uri="{FF2B5EF4-FFF2-40B4-BE49-F238E27FC236}">
              <a16:creationId xmlns:a16="http://schemas.microsoft.com/office/drawing/2014/main" id="{00000000-0008-0000-0500-0000D4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9" name="Text Box 3">
          <a:extLst>
            <a:ext uri="{FF2B5EF4-FFF2-40B4-BE49-F238E27FC236}">
              <a16:creationId xmlns:a16="http://schemas.microsoft.com/office/drawing/2014/main" id="{00000000-0008-0000-0500-0000D5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0" name="Text Box 3">
          <a:extLst>
            <a:ext uri="{FF2B5EF4-FFF2-40B4-BE49-F238E27FC236}">
              <a16:creationId xmlns:a16="http://schemas.microsoft.com/office/drawing/2014/main" id="{00000000-0008-0000-0500-0000D6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1" name="Text Box 3">
          <a:extLst>
            <a:ext uri="{FF2B5EF4-FFF2-40B4-BE49-F238E27FC236}">
              <a16:creationId xmlns:a16="http://schemas.microsoft.com/office/drawing/2014/main" id="{00000000-0008-0000-0500-0000D7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2" name="Text Box 3">
          <a:extLst>
            <a:ext uri="{FF2B5EF4-FFF2-40B4-BE49-F238E27FC236}">
              <a16:creationId xmlns:a16="http://schemas.microsoft.com/office/drawing/2014/main" id="{00000000-0008-0000-0500-0000D8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3" name="Text Box 3">
          <a:extLst>
            <a:ext uri="{FF2B5EF4-FFF2-40B4-BE49-F238E27FC236}">
              <a16:creationId xmlns:a16="http://schemas.microsoft.com/office/drawing/2014/main" id="{00000000-0008-0000-0500-0000D9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74" name="Text Box 3">
          <a:extLst>
            <a:ext uri="{FF2B5EF4-FFF2-40B4-BE49-F238E27FC236}">
              <a16:creationId xmlns:a16="http://schemas.microsoft.com/office/drawing/2014/main" id="{00000000-0008-0000-0500-0000DA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5" name="Text Box 3">
          <a:extLst>
            <a:ext uri="{FF2B5EF4-FFF2-40B4-BE49-F238E27FC236}">
              <a16:creationId xmlns:a16="http://schemas.microsoft.com/office/drawing/2014/main" id="{00000000-0008-0000-0500-0000DB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6" name="Text Box 3">
          <a:extLst>
            <a:ext uri="{FF2B5EF4-FFF2-40B4-BE49-F238E27FC236}">
              <a16:creationId xmlns:a16="http://schemas.microsoft.com/office/drawing/2014/main" id="{00000000-0008-0000-0500-0000DC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7" name="Text Box 3">
          <a:extLst>
            <a:ext uri="{FF2B5EF4-FFF2-40B4-BE49-F238E27FC236}">
              <a16:creationId xmlns:a16="http://schemas.microsoft.com/office/drawing/2014/main" id="{00000000-0008-0000-0500-0000DD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8" name="Text Box 3">
          <a:extLst>
            <a:ext uri="{FF2B5EF4-FFF2-40B4-BE49-F238E27FC236}">
              <a16:creationId xmlns:a16="http://schemas.microsoft.com/office/drawing/2014/main" id="{00000000-0008-0000-0500-0000DE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9" name="Text Box 3">
          <a:extLst>
            <a:ext uri="{FF2B5EF4-FFF2-40B4-BE49-F238E27FC236}">
              <a16:creationId xmlns:a16="http://schemas.microsoft.com/office/drawing/2014/main" id="{00000000-0008-0000-0500-0000DF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80" name="Text Box 3">
          <a:extLst>
            <a:ext uri="{FF2B5EF4-FFF2-40B4-BE49-F238E27FC236}">
              <a16:creationId xmlns:a16="http://schemas.microsoft.com/office/drawing/2014/main" id="{00000000-0008-0000-0500-0000E0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1" name="Text Box 3">
          <a:extLst>
            <a:ext uri="{FF2B5EF4-FFF2-40B4-BE49-F238E27FC236}">
              <a16:creationId xmlns:a16="http://schemas.microsoft.com/office/drawing/2014/main" id="{00000000-0008-0000-0500-0000E1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2" name="Text Box 3">
          <a:extLst>
            <a:ext uri="{FF2B5EF4-FFF2-40B4-BE49-F238E27FC236}">
              <a16:creationId xmlns:a16="http://schemas.microsoft.com/office/drawing/2014/main" id="{00000000-0008-0000-0500-0000E2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3" name="Text Box 3">
          <a:extLst>
            <a:ext uri="{FF2B5EF4-FFF2-40B4-BE49-F238E27FC236}">
              <a16:creationId xmlns:a16="http://schemas.microsoft.com/office/drawing/2014/main" id="{00000000-0008-0000-0500-0000E3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4" name="Text Box 3">
          <a:extLst>
            <a:ext uri="{FF2B5EF4-FFF2-40B4-BE49-F238E27FC236}">
              <a16:creationId xmlns:a16="http://schemas.microsoft.com/office/drawing/2014/main" id="{00000000-0008-0000-0500-0000E4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5" name="Text Box 3">
          <a:extLst>
            <a:ext uri="{FF2B5EF4-FFF2-40B4-BE49-F238E27FC236}">
              <a16:creationId xmlns:a16="http://schemas.microsoft.com/office/drawing/2014/main" id="{00000000-0008-0000-0500-0000E5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86" name="Text Box 3">
          <a:extLst>
            <a:ext uri="{FF2B5EF4-FFF2-40B4-BE49-F238E27FC236}">
              <a16:creationId xmlns:a16="http://schemas.microsoft.com/office/drawing/2014/main" id="{00000000-0008-0000-0500-0000E6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7" name="Text Box 3">
          <a:extLst>
            <a:ext uri="{FF2B5EF4-FFF2-40B4-BE49-F238E27FC236}">
              <a16:creationId xmlns:a16="http://schemas.microsoft.com/office/drawing/2014/main" id="{00000000-0008-0000-0500-0000E7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636</xdr:row>
      <xdr:rowOff>0</xdr:rowOff>
    </xdr:from>
    <xdr:ext cx="76200" cy="200025"/>
    <xdr:sp macro="" textlink="">
      <xdr:nvSpPr>
        <xdr:cNvPr id="488" name="Text Box 3">
          <a:extLst>
            <a:ext uri="{FF2B5EF4-FFF2-40B4-BE49-F238E27FC236}">
              <a16:creationId xmlns:a16="http://schemas.microsoft.com/office/drawing/2014/main" id="{00000000-0008-0000-0500-0000E8010000}"/>
            </a:ext>
          </a:extLst>
        </xdr:cNvPr>
        <xdr:cNvSpPr txBox="1">
          <a:spLocks noChangeArrowheads="1"/>
        </xdr:cNvSpPr>
      </xdr:nvSpPr>
      <xdr:spPr bwMode="auto">
        <a:xfrm>
          <a:off x="4257675" y="94078425"/>
          <a:ext cx="76200" cy="200025"/>
        </a:xfrm>
        <a:prstGeom prst="rect">
          <a:avLst/>
        </a:prstGeom>
        <a:noFill/>
        <a:ln w="9525">
          <a:noFill/>
          <a:miter lim="800000"/>
          <a:headEnd/>
          <a:tailEnd/>
        </a:ln>
      </xdr:spPr>
    </xdr:sp>
    <xdr:clientData/>
  </xdr:oneCellAnchor>
  <xdr:oneCellAnchor>
    <xdr:from>
      <xdr:col>0</xdr:col>
      <xdr:colOff>0</xdr:colOff>
      <xdr:row>636</xdr:row>
      <xdr:rowOff>0</xdr:rowOff>
    </xdr:from>
    <xdr:ext cx="28575" cy="104775"/>
    <xdr:sp macro="" textlink="">
      <xdr:nvSpPr>
        <xdr:cNvPr id="489" name="Text Box 4">
          <a:extLst>
            <a:ext uri="{FF2B5EF4-FFF2-40B4-BE49-F238E27FC236}">
              <a16:creationId xmlns:a16="http://schemas.microsoft.com/office/drawing/2014/main" id="{00000000-0008-0000-0500-0000E9010000}"/>
            </a:ext>
          </a:extLst>
        </xdr:cNvPr>
        <xdr:cNvSpPr txBox="1">
          <a:spLocks noChangeArrowheads="1"/>
        </xdr:cNvSpPr>
      </xdr:nvSpPr>
      <xdr:spPr bwMode="auto">
        <a:xfrm>
          <a:off x="0" y="94078425"/>
          <a:ext cx="28575" cy="104775"/>
        </a:xfrm>
        <a:prstGeom prst="rect">
          <a:avLst/>
        </a:prstGeom>
        <a:noFill/>
        <a:ln w="9525">
          <a:noFill/>
          <a:miter lim="800000"/>
          <a:headEnd/>
          <a:tailEnd/>
        </a:ln>
      </xdr:spPr>
    </xdr:sp>
    <xdr:clientData/>
  </xdr:oneCellAnchor>
  <xdr:oneCellAnchor>
    <xdr:from>
      <xdr:col>6</xdr:col>
      <xdr:colOff>590550</xdr:colOff>
      <xdr:row>635</xdr:row>
      <xdr:rowOff>0</xdr:rowOff>
    </xdr:from>
    <xdr:ext cx="76200" cy="196850"/>
    <xdr:sp macro="" textlink="">
      <xdr:nvSpPr>
        <xdr:cNvPr id="490" name="Text Box 3">
          <a:extLst>
            <a:ext uri="{FF2B5EF4-FFF2-40B4-BE49-F238E27FC236}">
              <a16:creationId xmlns:a16="http://schemas.microsoft.com/office/drawing/2014/main" id="{00000000-0008-0000-0500-0000EA010000}"/>
            </a:ext>
          </a:extLst>
        </xdr:cNvPr>
        <xdr:cNvSpPr txBox="1">
          <a:spLocks noChangeArrowheads="1"/>
        </xdr:cNvSpPr>
      </xdr:nvSpPr>
      <xdr:spPr bwMode="auto">
        <a:xfrm>
          <a:off x="4257675" y="93878400"/>
          <a:ext cx="76200" cy="196850"/>
        </a:xfrm>
        <a:prstGeom prst="rect">
          <a:avLst/>
        </a:prstGeom>
        <a:noFill/>
        <a:ln w="9525">
          <a:noFill/>
          <a:miter lim="800000"/>
          <a:headEnd/>
          <a:tailEnd/>
        </a:ln>
      </xdr:spPr>
    </xdr:sp>
    <xdr:clientData/>
  </xdr:oneCellAnchor>
  <xdr:oneCellAnchor>
    <xdr:from>
      <xdr:col>0</xdr:col>
      <xdr:colOff>0</xdr:colOff>
      <xdr:row>635</xdr:row>
      <xdr:rowOff>0</xdr:rowOff>
    </xdr:from>
    <xdr:ext cx="28575" cy="104775"/>
    <xdr:sp macro="" textlink="">
      <xdr:nvSpPr>
        <xdr:cNvPr id="491" name="Text Box 4">
          <a:extLst>
            <a:ext uri="{FF2B5EF4-FFF2-40B4-BE49-F238E27FC236}">
              <a16:creationId xmlns:a16="http://schemas.microsoft.com/office/drawing/2014/main" id="{00000000-0008-0000-0500-0000EB010000}"/>
            </a:ext>
          </a:extLst>
        </xdr:cNvPr>
        <xdr:cNvSpPr txBox="1">
          <a:spLocks noChangeArrowheads="1"/>
        </xdr:cNvSpPr>
      </xdr:nvSpPr>
      <xdr:spPr bwMode="auto">
        <a:xfrm>
          <a:off x="0" y="93878400"/>
          <a:ext cx="28575" cy="10477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2" name="Text Box 3">
          <a:extLst>
            <a:ext uri="{FF2B5EF4-FFF2-40B4-BE49-F238E27FC236}">
              <a16:creationId xmlns:a16="http://schemas.microsoft.com/office/drawing/2014/main" id="{00000000-0008-0000-0500-0000EC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493" name="Text Box 3">
          <a:extLst>
            <a:ext uri="{FF2B5EF4-FFF2-40B4-BE49-F238E27FC236}">
              <a16:creationId xmlns:a16="http://schemas.microsoft.com/office/drawing/2014/main" id="{00000000-0008-0000-0500-0000ED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4" name="Text Box 3">
          <a:extLst>
            <a:ext uri="{FF2B5EF4-FFF2-40B4-BE49-F238E27FC236}">
              <a16:creationId xmlns:a16="http://schemas.microsoft.com/office/drawing/2014/main" id="{00000000-0008-0000-0500-0000EE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5" name="Text Box 3">
          <a:extLst>
            <a:ext uri="{FF2B5EF4-FFF2-40B4-BE49-F238E27FC236}">
              <a16:creationId xmlns:a16="http://schemas.microsoft.com/office/drawing/2014/main" id="{00000000-0008-0000-0500-0000EF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6" name="Text Box 3">
          <a:extLst>
            <a:ext uri="{FF2B5EF4-FFF2-40B4-BE49-F238E27FC236}">
              <a16:creationId xmlns:a16="http://schemas.microsoft.com/office/drawing/2014/main" id="{00000000-0008-0000-0500-0000F0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7" name="Text Box 3">
          <a:extLst>
            <a:ext uri="{FF2B5EF4-FFF2-40B4-BE49-F238E27FC236}">
              <a16:creationId xmlns:a16="http://schemas.microsoft.com/office/drawing/2014/main" id="{00000000-0008-0000-0500-0000F1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8" name="Text Box 3">
          <a:extLst>
            <a:ext uri="{FF2B5EF4-FFF2-40B4-BE49-F238E27FC236}">
              <a16:creationId xmlns:a16="http://schemas.microsoft.com/office/drawing/2014/main" id="{00000000-0008-0000-0500-0000F2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499" name="Text Box 3">
          <a:extLst>
            <a:ext uri="{FF2B5EF4-FFF2-40B4-BE49-F238E27FC236}">
              <a16:creationId xmlns:a16="http://schemas.microsoft.com/office/drawing/2014/main" id="{00000000-0008-0000-0500-0000F3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0" name="Text Box 3">
          <a:extLst>
            <a:ext uri="{FF2B5EF4-FFF2-40B4-BE49-F238E27FC236}">
              <a16:creationId xmlns:a16="http://schemas.microsoft.com/office/drawing/2014/main" id="{00000000-0008-0000-0500-0000F4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1" name="Text Box 3">
          <a:extLst>
            <a:ext uri="{FF2B5EF4-FFF2-40B4-BE49-F238E27FC236}">
              <a16:creationId xmlns:a16="http://schemas.microsoft.com/office/drawing/2014/main" id="{00000000-0008-0000-0500-0000F5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2" name="Text Box 3">
          <a:extLst>
            <a:ext uri="{FF2B5EF4-FFF2-40B4-BE49-F238E27FC236}">
              <a16:creationId xmlns:a16="http://schemas.microsoft.com/office/drawing/2014/main" id="{00000000-0008-0000-0500-0000F6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3" name="Text Box 3">
          <a:extLst>
            <a:ext uri="{FF2B5EF4-FFF2-40B4-BE49-F238E27FC236}">
              <a16:creationId xmlns:a16="http://schemas.microsoft.com/office/drawing/2014/main" id="{00000000-0008-0000-0500-0000F7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4" name="Text Box 3">
          <a:extLst>
            <a:ext uri="{FF2B5EF4-FFF2-40B4-BE49-F238E27FC236}">
              <a16:creationId xmlns:a16="http://schemas.microsoft.com/office/drawing/2014/main" id="{00000000-0008-0000-0500-0000F8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05" name="Text Box 3">
          <a:extLst>
            <a:ext uri="{FF2B5EF4-FFF2-40B4-BE49-F238E27FC236}">
              <a16:creationId xmlns:a16="http://schemas.microsoft.com/office/drawing/2014/main" id="{00000000-0008-0000-0500-0000F9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6" name="Text Box 3">
          <a:extLst>
            <a:ext uri="{FF2B5EF4-FFF2-40B4-BE49-F238E27FC236}">
              <a16:creationId xmlns:a16="http://schemas.microsoft.com/office/drawing/2014/main" id="{00000000-0008-0000-0500-0000FA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7" name="Text Box 3">
          <a:extLst>
            <a:ext uri="{FF2B5EF4-FFF2-40B4-BE49-F238E27FC236}">
              <a16:creationId xmlns:a16="http://schemas.microsoft.com/office/drawing/2014/main" id="{00000000-0008-0000-0500-0000FB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8" name="Text Box 3">
          <a:extLst>
            <a:ext uri="{FF2B5EF4-FFF2-40B4-BE49-F238E27FC236}">
              <a16:creationId xmlns:a16="http://schemas.microsoft.com/office/drawing/2014/main" id="{00000000-0008-0000-0500-0000FC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9" name="Text Box 3">
          <a:extLst>
            <a:ext uri="{FF2B5EF4-FFF2-40B4-BE49-F238E27FC236}">
              <a16:creationId xmlns:a16="http://schemas.microsoft.com/office/drawing/2014/main" id="{00000000-0008-0000-0500-0000FD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0" name="Text Box 3">
          <a:extLst>
            <a:ext uri="{FF2B5EF4-FFF2-40B4-BE49-F238E27FC236}">
              <a16:creationId xmlns:a16="http://schemas.microsoft.com/office/drawing/2014/main" id="{00000000-0008-0000-0500-0000FE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11" name="Text Box 3">
          <a:extLst>
            <a:ext uri="{FF2B5EF4-FFF2-40B4-BE49-F238E27FC236}">
              <a16:creationId xmlns:a16="http://schemas.microsoft.com/office/drawing/2014/main" id="{00000000-0008-0000-0500-0000FF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2" name="Text Box 3">
          <a:extLst>
            <a:ext uri="{FF2B5EF4-FFF2-40B4-BE49-F238E27FC236}">
              <a16:creationId xmlns:a16="http://schemas.microsoft.com/office/drawing/2014/main" id="{00000000-0008-0000-0500-000000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3" name="Text Box 3">
          <a:extLst>
            <a:ext uri="{FF2B5EF4-FFF2-40B4-BE49-F238E27FC236}">
              <a16:creationId xmlns:a16="http://schemas.microsoft.com/office/drawing/2014/main" id="{00000000-0008-0000-0500-000001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4" name="Text Box 3">
          <a:extLst>
            <a:ext uri="{FF2B5EF4-FFF2-40B4-BE49-F238E27FC236}">
              <a16:creationId xmlns:a16="http://schemas.microsoft.com/office/drawing/2014/main" id="{00000000-0008-0000-0500-000002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5" name="Text Box 3">
          <a:extLst>
            <a:ext uri="{FF2B5EF4-FFF2-40B4-BE49-F238E27FC236}">
              <a16:creationId xmlns:a16="http://schemas.microsoft.com/office/drawing/2014/main" id="{00000000-0008-0000-0500-000003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6" name="Text Box 3">
          <a:extLst>
            <a:ext uri="{FF2B5EF4-FFF2-40B4-BE49-F238E27FC236}">
              <a16:creationId xmlns:a16="http://schemas.microsoft.com/office/drawing/2014/main" id="{00000000-0008-0000-0500-000004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17" name="Text Box 3">
          <a:extLst>
            <a:ext uri="{FF2B5EF4-FFF2-40B4-BE49-F238E27FC236}">
              <a16:creationId xmlns:a16="http://schemas.microsoft.com/office/drawing/2014/main" id="{00000000-0008-0000-0500-00000502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8" name="Text Box 3">
          <a:extLst>
            <a:ext uri="{FF2B5EF4-FFF2-40B4-BE49-F238E27FC236}">
              <a16:creationId xmlns:a16="http://schemas.microsoft.com/office/drawing/2014/main" id="{00000000-0008-0000-0500-000006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9" name="Text Box 3">
          <a:extLst>
            <a:ext uri="{FF2B5EF4-FFF2-40B4-BE49-F238E27FC236}">
              <a16:creationId xmlns:a16="http://schemas.microsoft.com/office/drawing/2014/main" id="{00000000-0008-0000-0500-000007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0" name="Text Box 3">
          <a:extLst>
            <a:ext uri="{FF2B5EF4-FFF2-40B4-BE49-F238E27FC236}">
              <a16:creationId xmlns:a16="http://schemas.microsoft.com/office/drawing/2014/main" id="{00000000-0008-0000-0500-000008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1" name="Text Box 3">
          <a:extLst>
            <a:ext uri="{FF2B5EF4-FFF2-40B4-BE49-F238E27FC236}">
              <a16:creationId xmlns:a16="http://schemas.microsoft.com/office/drawing/2014/main" id="{00000000-0008-0000-0500-000009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2" name="Text Box 3">
          <a:extLst>
            <a:ext uri="{FF2B5EF4-FFF2-40B4-BE49-F238E27FC236}">
              <a16:creationId xmlns:a16="http://schemas.microsoft.com/office/drawing/2014/main" id="{00000000-0008-0000-0500-00000A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23" name="Text Box 3">
          <a:extLst>
            <a:ext uri="{FF2B5EF4-FFF2-40B4-BE49-F238E27FC236}">
              <a16:creationId xmlns:a16="http://schemas.microsoft.com/office/drawing/2014/main" id="{00000000-0008-0000-0500-00000B02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4" name="Text Box 3">
          <a:extLst>
            <a:ext uri="{FF2B5EF4-FFF2-40B4-BE49-F238E27FC236}">
              <a16:creationId xmlns:a16="http://schemas.microsoft.com/office/drawing/2014/main" id="{00000000-0008-0000-0500-00000C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5" name="Text Box 3">
          <a:extLst>
            <a:ext uri="{FF2B5EF4-FFF2-40B4-BE49-F238E27FC236}">
              <a16:creationId xmlns:a16="http://schemas.microsoft.com/office/drawing/2014/main" id="{00000000-0008-0000-0500-00000D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6" name="Text Box 3">
          <a:extLst>
            <a:ext uri="{FF2B5EF4-FFF2-40B4-BE49-F238E27FC236}">
              <a16:creationId xmlns:a16="http://schemas.microsoft.com/office/drawing/2014/main" id="{00000000-0008-0000-0500-00000E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7" name="Text Box 3">
          <a:extLst>
            <a:ext uri="{FF2B5EF4-FFF2-40B4-BE49-F238E27FC236}">
              <a16:creationId xmlns:a16="http://schemas.microsoft.com/office/drawing/2014/main" id="{00000000-0008-0000-0500-00000F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8" name="Text Box 3">
          <a:extLst>
            <a:ext uri="{FF2B5EF4-FFF2-40B4-BE49-F238E27FC236}">
              <a16:creationId xmlns:a16="http://schemas.microsoft.com/office/drawing/2014/main" id="{00000000-0008-0000-0500-000010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29" name="Text Box 3">
          <a:extLst>
            <a:ext uri="{FF2B5EF4-FFF2-40B4-BE49-F238E27FC236}">
              <a16:creationId xmlns:a16="http://schemas.microsoft.com/office/drawing/2014/main" id="{00000000-0008-0000-0500-00001102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30" name="Text Box 3">
          <a:extLst>
            <a:ext uri="{FF2B5EF4-FFF2-40B4-BE49-F238E27FC236}">
              <a16:creationId xmlns:a16="http://schemas.microsoft.com/office/drawing/2014/main" id="{00000000-0008-0000-0500-000012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694</xdr:row>
      <xdr:rowOff>0</xdr:rowOff>
    </xdr:from>
    <xdr:ext cx="76200" cy="200025"/>
    <xdr:sp macro="" textlink="">
      <xdr:nvSpPr>
        <xdr:cNvPr id="531" name="Text Box 3">
          <a:extLst>
            <a:ext uri="{FF2B5EF4-FFF2-40B4-BE49-F238E27FC236}">
              <a16:creationId xmlns:a16="http://schemas.microsoft.com/office/drawing/2014/main" id="{00000000-0008-0000-0500-000013020000}"/>
            </a:ext>
          </a:extLst>
        </xdr:cNvPr>
        <xdr:cNvSpPr txBox="1">
          <a:spLocks noChangeArrowheads="1"/>
        </xdr:cNvSpPr>
      </xdr:nvSpPr>
      <xdr:spPr bwMode="auto">
        <a:xfrm>
          <a:off x="4257675" y="103536750"/>
          <a:ext cx="76200" cy="200025"/>
        </a:xfrm>
        <a:prstGeom prst="rect">
          <a:avLst/>
        </a:prstGeom>
        <a:noFill/>
        <a:ln w="9525">
          <a:noFill/>
          <a:miter lim="800000"/>
          <a:headEnd/>
          <a:tailEnd/>
        </a:ln>
      </xdr:spPr>
    </xdr:sp>
    <xdr:clientData/>
  </xdr:oneCellAnchor>
  <xdr:oneCellAnchor>
    <xdr:from>
      <xdr:col>0</xdr:col>
      <xdr:colOff>0</xdr:colOff>
      <xdr:row>694</xdr:row>
      <xdr:rowOff>0</xdr:rowOff>
    </xdr:from>
    <xdr:ext cx="28575" cy="104775"/>
    <xdr:sp macro="" textlink="">
      <xdr:nvSpPr>
        <xdr:cNvPr id="532" name="Text Box 4">
          <a:extLst>
            <a:ext uri="{FF2B5EF4-FFF2-40B4-BE49-F238E27FC236}">
              <a16:creationId xmlns:a16="http://schemas.microsoft.com/office/drawing/2014/main" id="{00000000-0008-0000-0500-000014020000}"/>
            </a:ext>
          </a:extLst>
        </xdr:cNvPr>
        <xdr:cNvSpPr txBox="1">
          <a:spLocks noChangeArrowheads="1"/>
        </xdr:cNvSpPr>
      </xdr:nvSpPr>
      <xdr:spPr bwMode="auto">
        <a:xfrm>
          <a:off x="0" y="103536750"/>
          <a:ext cx="28575" cy="104775"/>
        </a:xfrm>
        <a:prstGeom prst="rect">
          <a:avLst/>
        </a:prstGeom>
        <a:noFill/>
        <a:ln w="9525">
          <a:noFill/>
          <a:miter lim="800000"/>
          <a:headEnd/>
          <a:tailEnd/>
        </a:ln>
      </xdr:spPr>
    </xdr:sp>
    <xdr:clientData/>
  </xdr:oneCellAnchor>
  <xdr:oneCellAnchor>
    <xdr:from>
      <xdr:col>6</xdr:col>
      <xdr:colOff>590550</xdr:colOff>
      <xdr:row>693</xdr:row>
      <xdr:rowOff>0</xdr:rowOff>
    </xdr:from>
    <xdr:ext cx="76200" cy="196850"/>
    <xdr:sp macro="" textlink="">
      <xdr:nvSpPr>
        <xdr:cNvPr id="533" name="Text Box 3">
          <a:extLst>
            <a:ext uri="{FF2B5EF4-FFF2-40B4-BE49-F238E27FC236}">
              <a16:creationId xmlns:a16="http://schemas.microsoft.com/office/drawing/2014/main" id="{00000000-0008-0000-0500-000015020000}"/>
            </a:ext>
          </a:extLst>
        </xdr:cNvPr>
        <xdr:cNvSpPr txBox="1">
          <a:spLocks noChangeArrowheads="1"/>
        </xdr:cNvSpPr>
      </xdr:nvSpPr>
      <xdr:spPr bwMode="auto">
        <a:xfrm>
          <a:off x="4257675" y="103336725"/>
          <a:ext cx="76200" cy="196850"/>
        </a:xfrm>
        <a:prstGeom prst="rect">
          <a:avLst/>
        </a:prstGeom>
        <a:noFill/>
        <a:ln w="9525">
          <a:noFill/>
          <a:miter lim="800000"/>
          <a:headEnd/>
          <a:tailEnd/>
        </a:ln>
      </xdr:spPr>
    </xdr:sp>
    <xdr:clientData/>
  </xdr:oneCellAnchor>
  <xdr:oneCellAnchor>
    <xdr:from>
      <xdr:col>0</xdr:col>
      <xdr:colOff>0</xdr:colOff>
      <xdr:row>693</xdr:row>
      <xdr:rowOff>0</xdr:rowOff>
    </xdr:from>
    <xdr:ext cx="28575" cy="104775"/>
    <xdr:sp macro="" textlink="">
      <xdr:nvSpPr>
        <xdr:cNvPr id="534" name="Text Box 4">
          <a:extLst>
            <a:ext uri="{FF2B5EF4-FFF2-40B4-BE49-F238E27FC236}">
              <a16:creationId xmlns:a16="http://schemas.microsoft.com/office/drawing/2014/main" id="{00000000-0008-0000-0500-000016020000}"/>
            </a:ext>
          </a:extLst>
        </xdr:cNvPr>
        <xdr:cNvSpPr txBox="1">
          <a:spLocks noChangeArrowheads="1"/>
        </xdr:cNvSpPr>
      </xdr:nvSpPr>
      <xdr:spPr bwMode="auto">
        <a:xfrm>
          <a:off x="0" y="103336725"/>
          <a:ext cx="28575" cy="10477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5" name="Text Box 3">
          <a:extLst>
            <a:ext uri="{FF2B5EF4-FFF2-40B4-BE49-F238E27FC236}">
              <a16:creationId xmlns:a16="http://schemas.microsoft.com/office/drawing/2014/main" id="{00000000-0008-0000-0500-000017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36" name="Text Box 3">
          <a:extLst>
            <a:ext uri="{FF2B5EF4-FFF2-40B4-BE49-F238E27FC236}">
              <a16:creationId xmlns:a16="http://schemas.microsoft.com/office/drawing/2014/main" id="{00000000-0008-0000-0500-000018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7" name="Text Box 3">
          <a:extLst>
            <a:ext uri="{FF2B5EF4-FFF2-40B4-BE49-F238E27FC236}">
              <a16:creationId xmlns:a16="http://schemas.microsoft.com/office/drawing/2014/main" id="{00000000-0008-0000-0500-000019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8" name="Text Box 3">
          <a:extLst>
            <a:ext uri="{FF2B5EF4-FFF2-40B4-BE49-F238E27FC236}">
              <a16:creationId xmlns:a16="http://schemas.microsoft.com/office/drawing/2014/main" id="{00000000-0008-0000-0500-00001A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9" name="Text Box 3">
          <a:extLst>
            <a:ext uri="{FF2B5EF4-FFF2-40B4-BE49-F238E27FC236}">
              <a16:creationId xmlns:a16="http://schemas.microsoft.com/office/drawing/2014/main" id="{00000000-0008-0000-0500-00001B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0" name="Text Box 3">
          <a:extLst>
            <a:ext uri="{FF2B5EF4-FFF2-40B4-BE49-F238E27FC236}">
              <a16:creationId xmlns:a16="http://schemas.microsoft.com/office/drawing/2014/main" id="{00000000-0008-0000-0500-00001C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1" name="Text Box 3">
          <a:extLst>
            <a:ext uri="{FF2B5EF4-FFF2-40B4-BE49-F238E27FC236}">
              <a16:creationId xmlns:a16="http://schemas.microsoft.com/office/drawing/2014/main" id="{00000000-0008-0000-0500-00001D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42" name="Text Box 3">
          <a:extLst>
            <a:ext uri="{FF2B5EF4-FFF2-40B4-BE49-F238E27FC236}">
              <a16:creationId xmlns:a16="http://schemas.microsoft.com/office/drawing/2014/main" id="{00000000-0008-0000-0500-00001E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3" name="Text Box 3">
          <a:extLst>
            <a:ext uri="{FF2B5EF4-FFF2-40B4-BE49-F238E27FC236}">
              <a16:creationId xmlns:a16="http://schemas.microsoft.com/office/drawing/2014/main" id="{00000000-0008-0000-0500-00001F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4" name="Text Box 3">
          <a:extLst>
            <a:ext uri="{FF2B5EF4-FFF2-40B4-BE49-F238E27FC236}">
              <a16:creationId xmlns:a16="http://schemas.microsoft.com/office/drawing/2014/main" id="{00000000-0008-0000-0500-000020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5" name="Text Box 3">
          <a:extLst>
            <a:ext uri="{FF2B5EF4-FFF2-40B4-BE49-F238E27FC236}">
              <a16:creationId xmlns:a16="http://schemas.microsoft.com/office/drawing/2014/main" id="{00000000-0008-0000-0500-000021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6" name="Text Box 3">
          <a:extLst>
            <a:ext uri="{FF2B5EF4-FFF2-40B4-BE49-F238E27FC236}">
              <a16:creationId xmlns:a16="http://schemas.microsoft.com/office/drawing/2014/main" id="{00000000-0008-0000-0500-000022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7" name="Text Box 3">
          <a:extLst>
            <a:ext uri="{FF2B5EF4-FFF2-40B4-BE49-F238E27FC236}">
              <a16:creationId xmlns:a16="http://schemas.microsoft.com/office/drawing/2014/main" id="{00000000-0008-0000-0500-000023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48" name="Text Box 3">
          <a:extLst>
            <a:ext uri="{FF2B5EF4-FFF2-40B4-BE49-F238E27FC236}">
              <a16:creationId xmlns:a16="http://schemas.microsoft.com/office/drawing/2014/main" id="{00000000-0008-0000-0500-000024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9" name="Text Box 3">
          <a:extLst>
            <a:ext uri="{FF2B5EF4-FFF2-40B4-BE49-F238E27FC236}">
              <a16:creationId xmlns:a16="http://schemas.microsoft.com/office/drawing/2014/main" id="{00000000-0008-0000-0500-000025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0" name="Text Box 3">
          <a:extLst>
            <a:ext uri="{FF2B5EF4-FFF2-40B4-BE49-F238E27FC236}">
              <a16:creationId xmlns:a16="http://schemas.microsoft.com/office/drawing/2014/main" id="{00000000-0008-0000-0500-000026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1" name="Text Box 3">
          <a:extLst>
            <a:ext uri="{FF2B5EF4-FFF2-40B4-BE49-F238E27FC236}">
              <a16:creationId xmlns:a16="http://schemas.microsoft.com/office/drawing/2014/main" id="{00000000-0008-0000-0500-000027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2" name="Text Box 3">
          <a:extLst>
            <a:ext uri="{FF2B5EF4-FFF2-40B4-BE49-F238E27FC236}">
              <a16:creationId xmlns:a16="http://schemas.microsoft.com/office/drawing/2014/main" id="{00000000-0008-0000-0500-000028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3" name="Text Box 3">
          <a:extLst>
            <a:ext uri="{FF2B5EF4-FFF2-40B4-BE49-F238E27FC236}">
              <a16:creationId xmlns:a16="http://schemas.microsoft.com/office/drawing/2014/main" id="{00000000-0008-0000-0500-000029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54" name="Text Box 3">
          <a:extLst>
            <a:ext uri="{FF2B5EF4-FFF2-40B4-BE49-F238E27FC236}">
              <a16:creationId xmlns:a16="http://schemas.microsoft.com/office/drawing/2014/main" id="{00000000-0008-0000-0500-00002A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5" name="Text Box 3">
          <a:extLst>
            <a:ext uri="{FF2B5EF4-FFF2-40B4-BE49-F238E27FC236}">
              <a16:creationId xmlns:a16="http://schemas.microsoft.com/office/drawing/2014/main" id="{00000000-0008-0000-0500-00002B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6" name="Text Box 3">
          <a:extLst>
            <a:ext uri="{FF2B5EF4-FFF2-40B4-BE49-F238E27FC236}">
              <a16:creationId xmlns:a16="http://schemas.microsoft.com/office/drawing/2014/main" id="{00000000-0008-0000-0500-00002C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7" name="Text Box 3">
          <a:extLst>
            <a:ext uri="{FF2B5EF4-FFF2-40B4-BE49-F238E27FC236}">
              <a16:creationId xmlns:a16="http://schemas.microsoft.com/office/drawing/2014/main" id="{00000000-0008-0000-0500-00002D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8" name="Text Box 3">
          <a:extLst>
            <a:ext uri="{FF2B5EF4-FFF2-40B4-BE49-F238E27FC236}">
              <a16:creationId xmlns:a16="http://schemas.microsoft.com/office/drawing/2014/main" id="{00000000-0008-0000-0500-00002E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9" name="Text Box 3">
          <a:extLst>
            <a:ext uri="{FF2B5EF4-FFF2-40B4-BE49-F238E27FC236}">
              <a16:creationId xmlns:a16="http://schemas.microsoft.com/office/drawing/2014/main" id="{00000000-0008-0000-0500-00002F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60" name="Text Box 3">
          <a:extLst>
            <a:ext uri="{FF2B5EF4-FFF2-40B4-BE49-F238E27FC236}">
              <a16:creationId xmlns:a16="http://schemas.microsoft.com/office/drawing/2014/main" id="{00000000-0008-0000-0500-000030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1" name="Text Box 3">
          <a:extLst>
            <a:ext uri="{FF2B5EF4-FFF2-40B4-BE49-F238E27FC236}">
              <a16:creationId xmlns:a16="http://schemas.microsoft.com/office/drawing/2014/main" id="{00000000-0008-0000-0500-000031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2" name="Text Box 3">
          <a:extLst>
            <a:ext uri="{FF2B5EF4-FFF2-40B4-BE49-F238E27FC236}">
              <a16:creationId xmlns:a16="http://schemas.microsoft.com/office/drawing/2014/main" id="{00000000-0008-0000-0500-000032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3" name="Text Box 3">
          <a:extLst>
            <a:ext uri="{FF2B5EF4-FFF2-40B4-BE49-F238E27FC236}">
              <a16:creationId xmlns:a16="http://schemas.microsoft.com/office/drawing/2014/main" id="{00000000-0008-0000-0500-000033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4" name="Text Box 3">
          <a:extLst>
            <a:ext uri="{FF2B5EF4-FFF2-40B4-BE49-F238E27FC236}">
              <a16:creationId xmlns:a16="http://schemas.microsoft.com/office/drawing/2014/main" id="{00000000-0008-0000-0500-000034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5" name="Text Box 3">
          <a:extLst>
            <a:ext uri="{FF2B5EF4-FFF2-40B4-BE49-F238E27FC236}">
              <a16:creationId xmlns:a16="http://schemas.microsoft.com/office/drawing/2014/main" id="{00000000-0008-0000-0500-000035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66" name="Text Box 3">
          <a:extLst>
            <a:ext uri="{FF2B5EF4-FFF2-40B4-BE49-F238E27FC236}">
              <a16:creationId xmlns:a16="http://schemas.microsoft.com/office/drawing/2014/main" id="{00000000-0008-0000-0500-000036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7" name="Text Box 3">
          <a:extLst>
            <a:ext uri="{FF2B5EF4-FFF2-40B4-BE49-F238E27FC236}">
              <a16:creationId xmlns:a16="http://schemas.microsoft.com/office/drawing/2014/main" id="{00000000-0008-0000-0500-000037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8" name="Text Box 3">
          <a:extLst>
            <a:ext uri="{FF2B5EF4-FFF2-40B4-BE49-F238E27FC236}">
              <a16:creationId xmlns:a16="http://schemas.microsoft.com/office/drawing/2014/main" id="{00000000-0008-0000-0500-000038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9" name="Text Box 3">
          <a:extLst>
            <a:ext uri="{FF2B5EF4-FFF2-40B4-BE49-F238E27FC236}">
              <a16:creationId xmlns:a16="http://schemas.microsoft.com/office/drawing/2014/main" id="{00000000-0008-0000-0500-000039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70" name="Text Box 3">
          <a:extLst>
            <a:ext uri="{FF2B5EF4-FFF2-40B4-BE49-F238E27FC236}">
              <a16:creationId xmlns:a16="http://schemas.microsoft.com/office/drawing/2014/main" id="{00000000-0008-0000-0500-00003A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71" name="Text Box 3">
          <a:extLst>
            <a:ext uri="{FF2B5EF4-FFF2-40B4-BE49-F238E27FC236}">
              <a16:creationId xmlns:a16="http://schemas.microsoft.com/office/drawing/2014/main" id="{00000000-0008-0000-0500-00003B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72" name="Text Box 3">
          <a:extLst>
            <a:ext uri="{FF2B5EF4-FFF2-40B4-BE49-F238E27FC236}">
              <a16:creationId xmlns:a16="http://schemas.microsoft.com/office/drawing/2014/main" id="{00000000-0008-0000-0500-00003C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73" name="Text Box 3">
          <a:extLst>
            <a:ext uri="{FF2B5EF4-FFF2-40B4-BE49-F238E27FC236}">
              <a16:creationId xmlns:a16="http://schemas.microsoft.com/office/drawing/2014/main" id="{00000000-0008-0000-0500-00003D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752</xdr:row>
      <xdr:rowOff>0</xdr:rowOff>
    </xdr:from>
    <xdr:ext cx="76200" cy="200025"/>
    <xdr:sp macro="" textlink="">
      <xdr:nvSpPr>
        <xdr:cNvPr id="574" name="Text Box 3">
          <a:extLst>
            <a:ext uri="{FF2B5EF4-FFF2-40B4-BE49-F238E27FC236}">
              <a16:creationId xmlns:a16="http://schemas.microsoft.com/office/drawing/2014/main" id="{00000000-0008-0000-0500-00003E020000}"/>
            </a:ext>
          </a:extLst>
        </xdr:cNvPr>
        <xdr:cNvSpPr txBox="1">
          <a:spLocks noChangeArrowheads="1"/>
        </xdr:cNvSpPr>
      </xdr:nvSpPr>
      <xdr:spPr bwMode="auto">
        <a:xfrm>
          <a:off x="4257675" y="112995075"/>
          <a:ext cx="76200" cy="200025"/>
        </a:xfrm>
        <a:prstGeom prst="rect">
          <a:avLst/>
        </a:prstGeom>
        <a:noFill/>
        <a:ln w="9525">
          <a:noFill/>
          <a:miter lim="800000"/>
          <a:headEnd/>
          <a:tailEnd/>
        </a:ln>
      </xdr:spPr>
    </xdr:sp>
    <xdr:clientData/>
  </xdr:oneCellAnchor>
  <xdr:oneCellAnchor>
    <xdr:from>
      <xdr:col>0</xdr:col>
      <xdr:colOff>0</xdr:colOff>
      <xdr:row>752</xdr:row>
      <xdr:rowOff>0</xdr:rowOff>
    </xdr:from>
    <xdr:ext cx="28575" cy="104775"/>
    <xdr:sp macro="" textlink="">
      <xdr:nvSpPr>
        <xdr:cNvPr id="575" name="Text Box 4">
          <a:extLst>
            <a:ext uri="{FF2B5EF4-FFF2-40B4-BE49-F238E27FC236}">
              <a16:creationId xmlns:a16="http://schemas.microsoft.com/office/drawing/2014/main" id="{00000000-0008-0000-0500-00003F020000}"/>
            </a:ext>
          </a:extLst>
        </xdr:cNvPr>
        <xdr:cNvSpPr txBox="1">
          <a:spLocks noChangeArrowheads="1"/>
        </xdr:cNvSpPr>
      </xdr:nvSpPr>
      <xdr:spPr bwMode="auto">
        <a:xfrm>
          <a:off x="0" y="112995075"/>
          <a:ext cx="28575" cy="104775"/>
        </a:xfrm>
        <a:prstGeom prst="rect">
          <a:avLst/>
        </a:prstGeom>
        <a:noFill/>
        <a:ln w="9525">
          <a:noFill/>
          <a:miter lim="800000"/>
          <a:headEnd/>
          <a:tailEnd/>
        </a:ln>
      </xdr:spPr>
    </xdr:sp>
    <xdr:clientData/>
  </xdr:oneCellAnchor>
  <xdr:oneCellAnchor>
    <xdr:from>
      <xdr:col>6</xdr:col>
      <xdr:colOff>590550</xdr:colOff>
      <xdr:row>751</xdr:row>
      <xdr:rowOff>0</xdr:rowOff>
    </xdr:from>
    <xdr:ext cx="76200" cy="196850"/>
    <xdr:sp macro="" textlink="">
      <xdr:nvSpPr>
        <xdr:cNvPr id="576" name="Text Box 3">
          <a:extLst>
            <a:ext uri="{FF2B5EF4-FFF2-40B4-BE49-F238E27FC236}">
              <a16:creationId xmlns:a16="http://schemas.microsoft.com/office/drawing/2014/main" id="{00000000-0008-0000-0500-000040020000}"/>
            </a:ext>
          </a:extLst>
        </xdr:cNvPr>
        <xdr:cNvSpPr txBox="1">
          <a:spLocks noChangeArrowheads="1"/>
        </xdr:cNvSpPr>
      </xdr:nvSpPr>
      <xdr:spPr bwMode="auto">
        <a:xfrm>
          <a:off x="4257675" y="112795050"/>
          <a:ext cx="76200" cy="196850"/>
        </a:xfrm>
        <a:prstGeom prst="rect">
          <a:avLst/>
        </a:prstGeom>
        <a:noFill/>
        <a:ln w="9525">
          <a:noFill/>
          <a:miter lim="800000"/>
          <a:headEnd/>
          <a:tailEnd/>
        </a:ln>
      </xdr:spPr>
    </xdr:sp>
    <xdr:clientData/>
  </xdr:oneCellAnchor>
  <xdr:oneCellAnchor>
    <xdr:from>
      <xdr:col>0</xdr:col>
      <xdr:colOff>0</xdr:colOff>
      <xdr:row>751</xdr:row>
      <xdr:rowOff>0</xdr:rowOff>
    </xdr:from>
    <xdr:ext cx="28575" cy="104775"/>
    <xdr:sp macro="" textlink="">
      <xdr:nvSpPr>
        <xdr:cNvPr id="577" name="Text Box 4">
          <a:extLst>
            <a:ext uri="{FF2B5EF4-FFF2-40B4-BE49-F238E27FC236}">
              <a16:creationId xmlns:a16="http://schemas.microsoft.com/office/drawing/2014/main" id="{00000000-0008-0000-0500-000041020000}"/>
            </a:ext>
          </a:extLst>
        </xdr:cNvPr>
        <xdr:cNvSpPr txBox="1">
          <a:spLocks noChangeArrowheads="1"/>
        </xdr:cNvSpPr>
      </xdr:nvSpPr>
      <xdr:spPr bwMode="auto">
        <a:xfrm>
          <a:off x="0" y="112795050"/>
          <a:ext cx="28575" cy="10477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78" name="Text Box 3">
          <a:extLst>
            <a:ext uri="{FF2B5EF4-FFF2-40B4-BE49-F238E27FC236}">
              <a16:creationId xmlns:a16="http://schemas.microsoft.com/office/drawing/2014/main" id="{00000000-0008-0000-0500-000042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79" name="Text Box 3">
          <a:extLst>
            <a:ext uri="{FF2B5EF4-FFF2-40B4-BE49-F238E27FC236}">
              <a16:creationId xmlns:a16="http://schemas.microsoft.com/office/drawing/2014/main" id="{00000000-0008-0000-0500-000043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0" name="Text Box 3">
          <a:extLst>
            <a:ext uri="{FF2B5EF4-FFF2-40B4-BE49-F238E27FC236}">
              <a16:creationId xmlns:a16="http://schemas.microsoft.com/office/drawing/2014/main" id="{00000000-0008-0000-0500-000044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1" name="Text Box 3">
          <a:extLst>
            <a:ext uri="{FF2B5EF4-FFF2-40B4-BE49-F238E27FC236}">
              <a16:creationId xmlns:a16="http://schemas.microsoft.com/office/drawing/2014/main" id="{00000000-0008-0000-0500-000045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2" name="Text Box 3">
          <a:extLst>
            <a:ext uri="{FF2B5EF4-FFF2-40B4-BE49-F238E27FC236}">
              <a16:creationId xmlns:a16="http://schemas.microsoft.com/office/drawing/2014/main" id="{00000000-0008-0000-0500-000046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3" name="Text Box 3">
          <a:extLst>
            <a:ext uri="{FF2B5EF4-FFF2-40B4-BE49-F238E27FC236}">
              <a16:creationId xmlns:a16="http://schemas.microsoft.com/office/drawing/2014/main" id="{00000000-0008-0000-0500-000047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4" name="Text Box 3">
          <a:extLst>
            <a:ext uri="{FF2B5EF4-FFF2-40B4-BE49-F238E27FC236}">
              <a16:creationId xmlns:a16="http://schemas.microsoft.com/office/drawing/2014/main" id="{00000000-0008-0000-0500-000048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85" name="Text Box 3">
          <a:extLst>
            <a:ext uri="{FF2B5EF4-FFF2-40B4-BE49-F238E27FC236}">
              <a16:creationId xmlns:a16="http://schemas.microsoft.com/office/drawing/2014/main" id="{00000000-0008-0000-0500-000049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6" name="Text Box 3">
          <a:extLst>
            <a:ext uri="{FF2B5EF4-FFF2-40B4-BE49-F238E27FC236}">
              <a16:creationId xmlns:a16="http://schemas.microsoft.com/office/drawing/2014/main" id="{00000000-0008-0000-0500-00004A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7" name="Text Box 3">
          <a:extLst>
            <a:ext uri="{FF2B5EF4-FFF2-40B4-BE49-F238E27FC236}">
              <a16:creationId xmlns:a16="http://schemas.microsoft.com/office/drawing/2014/main" id="{00000000-0008-0000-0500-00004B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8" name="Text Box 3">
          <a:extLst>
            <a:ext uri="{FF2B5EF4-FFF2-40B4-BE49-F238E27FC236}">
              <a16:creationId xmlns:a16="http://schemas.microsoft.com/office/drawing/2014/main" id="{00000000-0008-0000-0500-00004C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9" name="Text Box 3">
          <a:extLst>
            <a:ext uri="{FF2B5EF4-FFF2-40B4-BE49-F238E27FC236}">
              <a16:creationId xmlns:a16="http://schemas.microsoft.com/office/drawing/2014/main" id="{00000000-0008-0000-0500-00004D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0" name="Text Box 3">
          <a:extLst>
            <a:ext uri="{FF2B5EF4-FFF2-40B4-BE49-F238E27FC236}">
              <a16:creationId xmlns:a16="http://schemas.microsoft.com/office/drawing/2014/main" id="{00000000-0008-0000-0500-00004E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91" name="Text Box 3">
          <a:extLst>
            <a:ext uri="{FF2B5EF4-FFF2-40B4-BE49-F238E27FC236}">
              <a16:creationId xmlns:a16="http://schemas.microsoft.com/office/drawing/2014/main" id="{00000000-0008-0000-0500-00004F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2" name="Text Box 3">
          <a:extLst>
            <a:ext uri="{FF2B5EF4-FFF2-40B4-BE49-F238E27FC236}">
              <a16:creationId xmlns:a16="http://schemas.microsoft.com/office/drawing/2014/main" id="{00000000-0008-0000-0500-000050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3" name="Text Box 3">
          <a:extLst>
            <a:ext uri="{FF2B5EF4-FFF2-40B4-BE49-F238E27FC236}">
              <a16:creationId xmlns:a16="http://schemas.microsoft.com/office/drawing/2014/main" id="{00000000-0008-0000-0500-000051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4" name="Text Box 3">
          <a:extLst>
            <a:ext uri="{FF2B5EF4-FFF2-40B4-BE49-F238E27FC236}">
              <a16:creationId xmlns:a16="http://schemas.microsoft.com/office/drawing/2014/main" id="{00000000-0008-0000-0500-000052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5" name="Text Box 3">
          <a:extLst>
            <a:ext uri="{FF2B5EF4-FFF2-40B4-BE49-F238E27FC236}">
              <a16:creationId xmlns:a16="http://schemas.microsoft.com/office/drawing/2014/main" id="{00000000-0008-0000-0500-000053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6" name="Text Box 3">
          <a:extLst>
            <a:ext uri="{FF2B5EF4-FFF2-40B4-BE49-F238E27FC236}">
              <a16:creationId xmlns:a16="http://schemas.microsoft.com/office/drawing/2014/main" id="{00000000-0008-0000-0500-000054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97" name="Text Box 3">
          <a:extLst>
            <a:ext uri="{FF2B5EF4-FFF2-40B4-BE49-F238E27FC236}">
              <a16:creationId xmlns:a16="http://schemas.microsoft.com/office/drawing/2014/main" id="{00000000-0008-0000-0500-000055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8" name="Text Box 3">
          <a:extLst>
            <a:ext uri="{FF2B5EF4-FFF2-40B4-BE49-F238E27FC236}">
              <a16:creationId xmlns:a16="http://schemas.microsoft.com/office/drawing/2014/main" id="{00000000-0008-0000-0500-000056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9" name="Text Box 3">
          <a:extLst>
            <a:ext uri="{FF2B5EF4-FFF2-40B4-BE49-F238E27FC236}">
              <a16:creationId xmlns:a16="http://schemas.microsoft.com/office/drawing/2014/main" id="{00000000-0008-0000-0500-000057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0" name="Text Box 3">
          <a:extLst>
            <a:ext uri="{FF2B5EF4-FFF2-40B4-BE49-F238E27FC236}">
              <a16:creationId xmlns:a16="http://schemas.microsoft.com/office/drawing/2014/main" id="{00000000-0008-0000-0500-000058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1" name="Text Box 3">
          <a:extLst>
            <a:ext uri="{FF2B5EF4-FFF2-40B4-BE49-F238E27FC236}">
              <a16:creationId xmlns:a16="http://schemas.microsoft.com/office/drawing/2014/main" id="{00000000-0008-0000-0500-000059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2" name="Text Box 3">
          <a:extLst>
            <a:ext uri="{FF2B5EF4-FFF2-40B4-BE49-F238E27FC236}">
              <a16:creationId xmlns:a16="http://schemas.microsoft.com/office/drawing/2014/main" id="{00000000-0008-0000-0500-00005A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603" name="Text Box 3">
          <a:extLst>
            <a:ext uri="{FF2B5EF4-FFF2-40B4-BE49-F238E27FC236}">
              <a16:creationId xmlns:a16="http://schemas.microsoft.com/office/drawing/2014/main" id="{00000000-0008-0000-0500-00005B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4" name="Text Box 3">
          <a:extLst>
            <a:ext uri="{FF2B5EF4-FFF2-40B4-BE49-F238E27FC236}">
              <a16:creationId xmlns:a16="http://schemas.microsoft.com/office/drawing/2014/main" id="{00000000-0008-0000-0500-00005C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5" name="Text Box 3">
          <a:extLst>
            <a:ext uri="{FF2B5EF4-FFF2-40B4-BE49-F238E27FC236}">
              <a16:creationId xmlns:a16="http://schemas.microsoft.com/office/drawing/2014/main" id="{00000000-0008-0000-0500-00005D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6" name="Text Box 3">
          <a:extLst>
            <a:ext uri="{FF2B5EF4-FFF2-40B4-BE49-F238E27FC236}">
              <a16:creationId xmlns:a16="http://schemas.microsoft.com/office/drawing/2014/main" id="{00000000-0008-0000-0500-00005E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7" name="Text Box 3">
          <a:extLst>
            <a:ext uri="{FF2B5EF4-FFF2-40B4-BE49-F238E27FC236}">
              <a16:creationId xmlns:a16="http://schemas.microsoft.com/office/drawing/2014/main" id="{00000000-0008-0000-0500-00005F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8" name="Text Box 3">
          <a:extLst>
            <a:ext uri="{FF2B5EF4-FFF2-40B4-BE49-F238E27FC236}">
              <a16:creationId xmlns:a16="http://schemas.microsoft.com/office/drawing/2014/main" id="{00000000-0008-0000-0500-000060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609" name="Text Box 3">
          <a:extLst>
            <a:ext uri="{FF2B5EF4-FFF2-40B4-BE49-F238E27FC236}">
              <a16:creationId xmlns:a16="http://schemas.microsoft.com/office/drawing/2014/main" id="{00000000-0008-0000-0500-000061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0" name="Text Box 3">
          <a:extLst>
            <a:ext uri="{FF2B5EF4-FFF2-40B4-BE49-F238E27FC236}">
              <a16:creationId xmlns:a16="http://schemas.microsoft.com/office/drawing/2014/main" id="{00000000-0008-0000-0500-000062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1" name="Text Box 3">
          <a:extLst>
            <a:ext uri="{FF2B5EF4-FFF2-40B4-BE49-F238E27FC236}">
              <a16:creationId xmlns:a16="http://schemas.microsoft.com/office/drawing/2014/main" id="{00000000-0008-0000-0500-000063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2" name="Text Box 3">
          <a:extLst>
            <a:ext uri="{FF2B5EF4-FFF2-40B4-BE49-F238E27FC236}">
              <a16:creationId xmlns:a16="http://schemas.microsoft.com/office/drawing/2014/main" id="{00000000-0008-0000-0500-000064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3" name="Text Box 3">
          <a:extLst>
            <a:ext uri="{FF2B5EF4-FFF2-40B4-BE49-F238E27FC236}">
              <a16:creationId xmlns:a16="http://schemas.microsoft.com/office/drawing/2014/main" id="{00000000-0008-0000-0500-000065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4" name="Text Box 3">
          <a:extLst>
            <a:ext uri="{FF2B5EF4-FFF2-40B4-BE49-F238E27FC236}">
              <a16:creationId xmlns:a16="http://schemas.microsoft.com/office/drawing/2014/main" id="{00000000-0008-0000-0500-000066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615" name="Text Box 3">
          <a:extLst>
            <a:ext uri="{FF2B5EF4-FFF2-40B4-BE49-F238E27FC236}">
              <a16:creationId xmlns:a16="http://schemas.microsoft.com/office/drawing/2014/main" id="{00000000-0008-0000-0500-000067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6" name="Text Box 3">
          <a:extLst>
            <a:ext uri="{FF2B5EF4-FFF2-40B4-BE49-F238E27FC236}">
              <a16:creationId xmlns:a16="http://schemas.microsoft.com/office/drawing/2014/main" id="{00000000-0008-0000-0500-000068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810</xdr:row>
      <xdr:rowOff>0</xdr:rowOff>
    </xdr:from>
    <xdr:ext cx="76200" cy="200025"/>
    <xdr:sp macro="" textlink="">
      <xdr:nvSpPr>
        <xdr:cNvPr id="617" name="Text Box 3">
          <a:extLst>
            <a:ext uri="{FF2B5EF4-FFF2-40B4-BE49-F238E27FC236}">
              <a16:creationId xmlns:a16="http://schemas.microsoft.com/office/drawing/2014/main" id="{00000000-0008-0000-0500-000069020000}"/>
            </a:ext>
          </a:extLst>
        </xdr:cNvPr>
        <xdr:cNvSpPr txBox="1">
          <a:spLocks noChangeArrowheads="1"/>
        </xdr:cNvSpPr>
      </xdr:nvSpPr>
      <xdr:spPr bwMode="auto">
        <a:xfrm>
          <a:off x="4257675" y="122453400"/>
          <a:ext cx="76200" cy="200025"/>
        </a:xfrm>
        <a:prstGeom prst="rect">
          <a:avLst/>
        </a:prstGeom>
        <a:noFill/>
        <a:ln w="9525">
          <a:noFill/>
          <a:miter lim="800000"/>
          <a:headEnd/>
          <a:tailEnd/>
        </a:ln>
      </xdr:spPr>
    </xdr:sp>
    <xdr:clientData/>
  </xdr:oneCellAnchor>
  <xdr:oneCellAnchor>
    <xdr:from>
      <xdr:col>0</xdr:col>
      <xdr:colOff>0</xdr:colOff>
      <xdr:row>810</xdr:row>
      <xdr:rowOff>0</xdr:rowOff>
    </xdr:from>
    <xdr:ext cx="28575" cy="104775"/>
    <xdr:sp macro="" textlink="">
      <xdr:nvSpPr>
        <xdr:cNvPr id="618" name="Text Box 4">
          <a:extLst>
            <a:ext uri="{FF2B5EF4-FFF2-40B4-BE49-F238E27FC236}">
              <a16:creationId xmlns:a16="http://schemas.microsoft.com/office/drawing/2014/main" id="{00000000-0008-0000-0500-00006A020000}"/>
            </a:ext>
          </a:extLst>
        </xdr:cNvPr>
        <xdr:cNvSpPr txBox="1">
          <a:spLocks noChangeArrowheads="1"/>
        </xdr:cNvSpPr>
      </xdr:nvSpPr>
      <xdr:spPr bwMode="auto">
        <a:xfrm>
          <a:off x="0" y="122453400"/>
          <a:ext cx="28575" cy="104775"/>
        </a:xfrm>
        <a:prstGeom prst="rect">
          <a:avLst/>
        </a:prstGeom>
        <a:noFill/>
        <a:ln w="9525">
          <a:noFill/>
          <a:miter lim="800000"/>
          <a:headEnd/>
          <a:tailEnd/>
        </a:ln>
      </xdr:spPr>
    </xdr:sp>
    <xdr:clientData/>
  </xdr:oneCellAnchor>
  <xdr:oneCellAnchor>
    <xdr:from>
      <xdr:col>6</xdr:col>
      <xdr:colOff>590550</xdr:colOff>
      <xdr:row>809</xdr:row>
      <xdr:rowOff>0</xdr:rowOff>
    </xdr:from>
    <xdr:ext cx="76200" cy="196850"/>
    <xdr:sp macro="" textlink="">
      <xdr:nvSpPr>
        <xdr:cNvPr id="619" name="Text Box 3">
          <a:extLst>
            <a:ext uri="{FF2B5EF4-FFF2-40B4-BE49-F238E27FC236}">
              <a16:creationId xmlns:a16="http://schemas.microsoft.com/office/drawing/2014/main" id="{00000000-0008-0000-0500-00006B020000}"/>
            </a:ext>
          </a:extLst>
        </xdr:cNvPr>
        <xdr:cNvSpPr txBox="1">
          <a:spLocks noChangeArrowheads="1"/>
        </xdr:cNvSpPr>
      </xdr:nvSpPr>
      <xdr:spPr bwMode="auto">
        <a:xfrm>
          <a:off x="4257675" y="122253375"/>
          <a:ext cx="76200" cy="196850"/>
        </a:xfrm>
        <a:prstGeom prst="rect">
          <a:avLst/>
        </a:prstGeom>
        <a:noFill/>
        <a:ln w="9525">
          <a:noFill/>
          <a:miter lim="800000"/>
          <a:headEnd/>
          <a:tailEnd/>
        </a:ln>
      </xdr:spPr>
    </xdr:sp>
    <xdr:clientData/>
  </xdr:oneCellAnchor>
  <xdr:oneCellAnchor>
    <xdr:from>
      <xdr:col>0</xdr:col>
      <xdr:colOff>0</xdr:colOff>
      <xdr:row>809</xdr:row>
      <xdr:rowOff>0</xdr:rowOff>
    </xdr:from>
    <xdr:ext cx="28575" cy="104775"/>
    <xdr:sp macro="" textlink="">
      <xdr:nvSpPr>
        <xdr:cNvPr id="620" name="Text Box 4">
          <a:extLst>
            <a:ext uri="{FF2B5EF4-FFF2-40B4-BE49-F238E27FC236}">
              <a16:creationId xmlns:a16="http://schemas.microsoft.com/office/drawing/2014/main" id="{00000000-0008-0000-0500-00006C020000}"/>
            </a:ext>
          </a:extLst>
        </xdr:cNvPr>
        <xdr:cNvSpPr txBox="1">
          <a:spLocks noChangeArrowheads="1"/>
        </xdr:cNvSpPr>
      </xdr:nvSpPr>
      <xdr:spPr bwMode="auto">
        <a:xfrm>
          <a:off x="0" y="122253375"/>
          <a:ext cx="28575" cy="10477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1" name="Text Box 3">
          <a:extLst>
            <a:ext uri="{FF2B5EF4-FFF2-40B4-BE49-F238E27FC236}">
              <a16:creationId xmlns:a16="http://schemas.microsoft.com/office/drawing/2014/main" id="{00000000-0008-0000-0500-00006D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22" name="Text Box 3">
          <a:extLst>
            <a:ext uri="{FF2B5EF4-FFF2-40B4-BE49-F238E27FC236}">
              <a16:creationId xmlns:a16="http://schemas.microsoft.com/office/drawing/2014/main" id="{00000000-0008-0000-0500-00006E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3" name="Text Box 3">
          <a:extLst>
            <a:ext uri="{FF2B5EF4-FFF2-40B4-BE49-F238E27FC236}">
              <a16:creationId xmlns:a16="http://schemas.microsoft.com/office/drawing/2014/main" id="{00000000-0008-0000-0500-00006F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4" name="Text Box 3">
          <a:extLst>
            <a:ext uri="{FF2B5EF4-FFF2-40B4-BE49-F238E27FC236}">
              <a16:creationId xmlns:a16="http://schemas.microsoft.com/office/drawing/2014/main" id="{00000000-0008-0000-0500-000070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5" name="Text Box 3">
          <a:extLst>
            <a:ext uri="{FF2B5EF4-FFF2-40B4-BE49-F238E27FC236}">
              <a16:creationId xmlns:a16="http://schemas.microsoft.com/office/drawing/2014/main" id="{00000000-0008-0000-0500-000071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6" name="Text Box 3">
          <a:extLst>
            <a:ext uri="{FF2B5EF4-FFF2-40B4-BE49-F238E27FC236}">
              <a16:creationId xmlns:a16="http://schemas.microsoft.com/office/drawing/2014/main" id="{00000000-0008-0000-0500-000072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7" name="Text Box 3">
          <a:extLst>
            <a:ext uri="{FF2B5EF4-FFF2-40B4-BE49-F238E27FC236}">
              <a16:creationId xmlns:a16="http://schemas.microsoft.com/office/drawing/2014/main" id="{00000000-0008-0000-0500-000073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28" name="Text Box 3">
          <a:extLst>
            <a:ext uri="{FF2B5EF4-FFF2-40B4-BE49-F238E27FC236}">
              <a16:creationId xmlns:a16="http://schemas.microsoft.com/office/drawing/2014/main" id="{00000000-0008-0000-0500-000074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9" name="Text Box 3">
          <a:extLst>
            <a:ext uri="{FF2B5EF4-FFF2-40B4-BE49-F238E27FC236}">
              <a16:creationId xmlns:a16="http://schemas.microsoft.com/office/drawing/2014/main" id="{00000000-0008-0000-0500-000075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0" name="Text Box 3">
          <a:extLst>
            <a:ext uri="{FF2B5EF4-FFF2-40B4-BE49-F238E27FC236}">
              <a16:creationId xmlns:a16="http://schemas.microsoft.com/office/drawing/2014/main" id="{00000000-0008-0000-0500-000076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1" name="Text Box 3">
          <a:extLst>
            <a:ext uri="{FF2B5EF4-FFF2-40B4-BE49-F238E27FC236}">
              <a16:creationId xmlns:a16="http://schemas.microsoft.com/office/drawing/2014/main" id="{00000000-0008-0000-0500-000077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2" name="Text Box 3">
          <a:extLst>
            <a:ext uri="{FF2B5EF4-FFF2-40B4-BE49-F238E27FC236}">
              <a16:creationId xmlns:a16="http://schemas.microsoft.com/office/drawing/2014/main" id="{00000000-0008-0000-0500-000078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3" name="Text Box 3">
          <a:extLst>
            <a:ext uri="{FF2B5EF4-FFF2-40B4-BE49-F238E27FC236}">
              <a16:creationId xmlns:a16="http://schemas.microsoft.com/office/drawing/2014/main" id="{00000000-0008-0000-0500-000079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34" name="Text Box 3">
          <a:extLst>
            <a:ext uri="{FF2B5EF4-FFF2-40B4-BE49-F238E27FC236}">
              <a16:creationId xmlns:a16="http://schemas.microsoft.com/office/drawing/2014/main" id="{00000000-0008-0000-0500-00007A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5" name="Text Box 3">
          <a:extLst>
            <a:ext uri="{FF2B5EF4-FFF2-40B4-BE49-F238E27FC236}">
              <a16:creationId xmlns:a16="http://schemas.microsoft.com/office/drawing/2014/main" id="{00000000-0008-0000-0500-00007B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6" name="Text Box 3">
          <a:extLst>
            <a:ext uri="{FF2B5EF4-FFF2-40B4-BE49-F238E27FC236}">
              <a16:creationId xmlns:a16="http://schemas.microsoft.com/office/drawing/2014/main" id="{00000000-0008-0000-0500-00007C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7" name="Text Box 3">
          <a:extLst>
            <a:ext uri="{FF2B5EF4-FFF2-40B4-BE49-F238E27FC236}">
              <a16:creationId xmlns:a16="http://schemas.microsoft.com/office/drawing/2014/main" id="{00000000-0008-0000-0500-00007D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8" name="Text Box 3">
          <a:extLst>
            <a:ext uri="{FF2B5EF4-FFF2-40B4-BE49-F238E27FC236}">
              <a16:creationId xmlns:a16="http://schemas.microsoft.com/office/drawing/2014/main" id="{00000000-0008-0000-0500-00007E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9" name="Text Box 3">
          <a:extLst>
            <a:ext uri="{FF2B5EF4-FFF2-40B4-BE49-F238E27FC236}">
              <a16:creationId xmlns:a16="http://schemas.microsoft.com/office/drawing/2014/main" id="{00000000-0008-0000-0500-00007F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40" name="Text Box 3">
          <a:extLst>
            <a:ext uri="{FF2B5EF4-FFF2-40B4-BE49-F238E27FC236}">
              <a16:creationId xmlns:a16="http://schemas.microsoft.com/office/drawing/2014/main" id="{00000000-0008-0000-0500-000080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1" name="Text Box 3">
          <a:extLst>
            <a:ext uri="{FF2B5EF4-FFF2-40B4-BE49-F238E27FC236}">
              <a16:creationId xmlns:a16="http://schemas.microsoft.com/office/drawing/2014/main" id="{00000000-0008-0000-0500-000081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2" name="Text Box 3">
          <a:extLst>
            <a:ext uri="{FF2B5EF4-FFF2-40B4-BE49-F238E27FC236}">
              <a16:creationId xmlns:a16="http://schemas.microsoft.com/office/drawing/2014/main" id="{00000000-0008-0000-0500-000082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3" name="Text Box 3">
          <a:extLst>
            <a:ext uri="{FF2B5EF4-FFF2-40B4-BE49-F238E27FC236}">
              <a16:creationId xmlns:a16="http://schemas.microsoft.com/office/drawing/2014/main" id="{00000000-0008-0000-0500-000083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4" name="Text Box 3">
          <a:extLst>
            <a:ext uri="{FF2B5EF4-FFF2-40B4-BE49-F238E27FC236}">
              <a16:creationId xmlns:a16="http://schemas.microsoft.com/office/drawing/2014/main" id="{00000000-0008-0000-0500-000084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5" name="Text Box 3">
          <a:extLst>
            <a:ext uri="{FF2B5EF4-FFF2-40B4-BE49-F238E27FC236}">
              <a16:creationId xmlns:a16="http://schemas.microsoft.com/office/drawing/2014/main" id="{00000000-0008-0000-0500-000085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46" name="Text Box 3">
          <a:extLst>
            <a:ext uri="{FF2B5EF4-FFF2-40B4-BE49-F238E27FC236}">
              <a16:creationId xmlns:a16="http://schemas.microsoft.com/office/drawing/2014/main" id="{00000000-0008-0000-0500-000086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7" name="Text Box 3">
          <a:extLst>
            <a:ext uri="{FF2B5EF4-FFF2-40B4-BE49-F238E27FC236}">
              <a16:creationId xmlns:a16="http://schemas.microsoft.com/office/drawing/2014/main" id="{00000000-0008-0000-0500-000087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8" name="Text Box 3">
          <a:extLst>
            <a:ext uri="{FF2B5EF4-FFF2-40B4-BE49-F238E27FC236}">
              <a16:creationId xmlns:a16="http://schemas.microsoft.com/office/drawing/2014/main" id="{00000000-0008-0000-0500-000088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9" name="Text Box 3">
          <a:extLst>
            <a:ext uri="{FF2B5EF4-FFF2-40B4-BE49-F238E27FC236}">
              <a16:creationId xmlns:a16="http://schemas.microsoft.com/office/drawing/2014/main" id="{00000000-0008-0000-0500-000089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0" name="Text Box 3">
          <a:extLst>
            <a:ext uri="{FF2B5EF4-FFF2-40B4-BE49-F238E27FC236}">
              <a16:creationId xmlns:a16="http://schemas.microsoft.com/office/drawing/2014/main" id="{00000000-0008-0000-0500-00008A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1" name="Text Box 3">
          <a:extLst>
            <a:ext uri="{FF2B5EF4-FFF2-40B4-BE49-F238E27FC236}">
              <a16:creationId xmlns:a16="http://schemas.microsoft.com/office/drawing/2014/main" id="{00000000-0008-0000-0500-00008B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52" name="Text Box 3">
          <a:extLst>
            <a:ext uri="{FF2B5EF4-FFF2-40B4-BE49-F238E27FC236}">
              <a16:creationId xmlns:a16="http://schemas.microsoft.com/office/drawing/2014/main" id="{00000000-0008-0000-0500-00008C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3" name="Text Box 3">
          <a:extLst>
            <a:ext uri="{FF2B5EF4-FFF2-40B4-BE49-F238E27FC236}">
              <a16:creationId xmlns:a16="http://schemas.microsoft.com/office/drawing/2014/main" id="{00000000-0008-0000-0500-00008D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4" name="Text Box 3">
          <a:extLst>
            <a:ext uri="{FF2B5EF4-FFF2-40B4-BE49-F238E27FC236}">
              <a16:creationId xmlns:a16="http://schemas.microsoft.com/office/drawing/2014/main" id="{00000000-0008-0000-0500-00008E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5" name="Text Box 3">
          <a:extLst>
            <a:ext uri="{FF2B5EF4-FFF2-40B4-BE49-F238E27FC236}">
              <a16:creationId xmlns:a16="http://schemas.microsoft.com/office/drawing/2014/main" id="{00000000-0008-0000-0500-00008F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6" name="Text Box 3">
          <a:extLst>
            <a:ext uri="{FF2B5EF4-FFF2-40B4-BE49-F238E27FC236}">
              <a16:creationId xmlns:a16="http://schemas.microsoft.com/office/drawing/2014/main" id="{00000000-0008-0000-0500-000090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7" name="Text Box 3">
          <a:extLst>
            <a:ext uri="{FF2B5EF4-FFF2-40B4-BE49-F238E27FC236}">
              <a16:creationId xmlns:a16="http://schemas.microsoft.com/office/drawing/2014/main" id="{00000000-0008-0000-0500-000091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58" name="Text Box 3">
          <a:extLst>
            <a:ext uri="{FF2B5EF4-FFF2-40B4-BE49-F238E27FC236}">
              <a16:creationId xmlns:a16="http://schemas.microsoft.com/office/drawing/2014/main" id="{00000000-0008-0000-0500-000092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9" name="Text Box 3">
          <a:extLst>
            <a:ext uri="{FF2B5EF4-FFF2-40B4-BE49-F238E27FC236}">
              <a16:creationId xmlns:a16="http://schemas.microsoft.com/office/drawing/2014/main" id="{00000000-0008-0000-0500-000093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868</xdr:row>
      <xdr:rowOff>0</xdr:rowOff>
    </xdr:from>
    <xdr:ext cx="76200" cy="200025"/>
    <xdr:sp macro="" textlink="">
      <xdr:nvSpPr>
        <xdr:cNvPr id="660" name="Text Box 3">
          <a:extLst>
            <a:ext uri="{FF2B5EF4-FFF2-40B4-BE49-F238E27FC236}">
              <a16:creationId xmlns:a16="http://schemas.microsoft.com/office/drawing/2014/main" id="{00000000-0008-0000-0500-000094020000}"/>
            </a:ext>
          </a:extLst>
        </xdr:cNvPr>
        <xdr:cNvSpPr txBox="1">
          <a:spLocks noChangeArrowheads="1"/>
        </xdr:cNvSpPr>
      </xdr:nvSpPr>
      <xdr:spPr bwMode="auto">
        <a:xfrm>
          <a:off x="4257675" y="131911725"/>
          <a:ext cx="76200" cy="200025"/>
        </a:xfrm>
        <a:prstGeom prst="rect">
          <a:avLst/>
        </a:prstGeom>
        <a:noFill/>
        <a:ln w="9525">
          <a:noFill/>
          <a:miter lim="800000"/>
          <a:headEnd/>
          <a:tailEnd/>
        </a:ln>
      </xdr:spPr>
    </xdr:sp>
    <xdr:clientData/>
  </xdr:oneCellAnchor>
  <xdr:oneCellAnchor>
    <xdr:from>
      <xdr:col>0</xdr:col>
      <xdr:colOff>0</xdr:colOff>
      <xdr:row>868</xdr:row>
      <xdr:rowOff>0</xdr:rowOff>
    </xdr:from>
    <xdr:ext cx="28575" cy="104775"/>
    <xdr:sp macro="" textlink="">
      <xdr:nvSpPr>
        <xdr:cNvPr id="661" name="Text Box 4">
          <a:extLst>
            <a:ext uri="{FF2B5EF4-FFF2-40B4-BE49-F238E27FC236}">
              <a16:creationId xmlns:a16="http://schemas.microsoft.com/office/drawing/2014/main" id="{00000000-0008-0000-0500-000095020000}"/>
            </a:ext>
          </a:extLst>
        </xdr:cNvPr>
        <xdr:cNvSpPr txBox="1">
          <a:spLocks noChangeArrowheads="1"/>
        </xdr:cNvSpPr>
      </xdr:nvSpPr>
      <xdr:spPr bwMode="auto">
        <a:xfrm>
          <a:off x="0" y="131911725"/>
          <a:ext cx="28575" cy="104775"/>
        </a:xfrm>
        <a:prstGeom prst="rect">
          <a:avLst/>
        </a:prstGeom>
        <a:noFill/>
        <a:ln w="9525">
          <a:noFill/>
          <a:miter lim="800000"/>
          <a:headEnd/>
          <a:tailEnd/>
        </a:ln>
      </xdr:spPr>
    </xdr:sp>
    <xdr:clientData/>
  </xdr:oneCellAnchor>
  <xdr:oneCellAnchor>
    <xdr:from>
      <xdr:col>6</xdr:col>
      <xdr:colOff>590550</xdr:colOff>
      <xdr:row>867</xdr:row>
      <xdr:rowOff>0</xdr:rowOff>
    </xdr:from>
    <xdr:ext cx="76200" cy="196850"/>
    <xdr:sp macro="" textlink="">
      <xdr:nvSpPr>
        <xdr:cNvPr id="662" name="Text Box 3">
          <a:extLst>
            <a:ext uri="{FF2B5EF4-FFF2-40B4-BE49-F238E27FC236}">
              <a16:creationId xmlns:a16="http://schemas.microsoft.com/office/drawing/2014/main" id="{00000000-0008-0000-0500-000096020000}"/>
            </a:ext>
          </a:extLst>
        </xdr:cNvPr>
        <xdr:cNvSpPr txBox="1">
          <a:spLocks noChangeArrowheads="1"/>
        </xdr:cNvSpPr>
      </xdr:nvSpPr>
      <xdr:spPr bwMode="auto">
        <a:xfrm>
          <a:off x="4257675" y="131711700"/>
          <a:ext cx="76200" cy="196850"/>
        </a:xfrm>
        <a:prstGeom prst="rect">
          <a:avLst/>
        </a:prstGeom>
        <a:noFill/>
        <a:ln w="9525">
          <a:noFill/>
          <a:miter lim="800000"/>
          <a:headEnd/>
          <a:tailEnd/>
        </a:ln>
      </xdr:spPr>
    </xdr:sp>
    <xdr:clientData/>
  </xdr:oneCellAnchor>
  <xdr:oneCellAnchor>
    <xdr:from>
      <xdr:col>0</xdr:col>
      <xdr:colOff>0</xdr:colOff>
      <xdr:row>867</xdr:row>
      <xdr:rowOff>0</xdr:rowOff>
    </xdr:from>
    <xdr:ext cx="28575" cy="104775"/>
    <xdr:sp macro="" textlink="">
      <xdr:nvSpPr>
        <xdr:cNvPr id="663" name="Text Box 4">
          <a:extLst>
            <a:ext uri="{FF2B5EF4-FFF2-40B4-BE49-F238E27FC236}">
              <a16:creationId xmlns:a16="http://schemas.microsoft.com/office/drawing/2014/main" id="{00000000-0008-0000-0500-000097020000}"/>
            </a:ext>
          </a:extLst>
        </xdr:cNvPr>
        <xdr:cNvSpPr txBox="1">
          <a:spLocks noChangeArrowheads="1"/>
        </xdr:cNvSpPr>
      </xdr:nvSpPr>
      <xdr:spPr bwMode="auto">
        <a:xfrm>
          <a:off x="0" y="131711700"/>
          <a:ext cx="28575" cy="10477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07" name="Text Box 3">
          <a:extLst>
            <a:ext uri="{FF2B5EF4-FFF2-40B4-BE49-F238E27FC236}">
              <a16:creationId xmlns:a16="http://schemas.microsoft.com/office/drawing/2014/main" id="{00000000-0008-0000-0500-0000C3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08" name="Text Box 3">
          <a:extLst>
            <a:ext uri="{FF2B5EF4-FFF2-40B4-BE49-F238E27FC236}">
              <a16:creationId xmlns:a16="http://schemas.microsoft.com/office/drawing/2014/main" id="{00000000-0008-0000-0500-0000C4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09" name="Text Box 3">
          <a:extLst>
            <a:ext uri="{FF2B5EF4-FFF2-40B4-BE49-F238E27FC236}">
              <a16:creationId xmlns:a16="http://schemas.microsoft.com/office/drawing/2014/main" id="{00000000-0008-0000-0500-0000C5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0" name="Text Box 3">
          <a:extLst>
            <a:ext uri="{FF2B5EF4-FFF2-40B4-BE49-F238E27FC236}">
              <a16:creationId xmlns:a16="http://schemas.microsoft.com/office/drawing/2014/main" id="{00000000-0008-0000-0500-0000C6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1" name="Text Box 3">
          <a:extLst>
            <a:ext uri="{FF2B5EF4-FFF2-40B4-BE49-F238E27FC236}">
              <a16:creationId xmlns:a16="http://schemas.microsoft.com/office/drawing/2014/main" id="{00000000-0008-0000-0500-0000C7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2" name="Text Box 3">
          <a:extLst>
            <a:ext uri="{FF2B5EF4-FFF2-40B4-BE49-F238E27FC236}">
              <a16:creationId xmlns:a16="http://schemas.microsoft.com/office/drawing/2014/main" id="{00000000-0008-0000-0500-0000C8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3" name="Text Box 3">
          <a:extLst>
            <a:ext uri="{FF2B5EF4-FFF2-40B4-BE49-F238E27FC236}">
              <a16:creationId xmlns:a16="http://schemas.microsoft.com/office/drawing/2014/main" id="{00000000-0008-0000-0500-0000C9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14" name="Text Box 3">
          <a:extLst>
            <a:ext uri="{FF2B5EF4-FFF2-40B4-BE49-F238E27FC236}">
              <a16:creationId xmlns:a16="http://schemas.microsoft.com/office/drawing/2014/main" id="{00000000-0008-0000-0500-0000CA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5" name="Text Box 3">
          <a:extLst>
            <a:ext uri="{FF2B5EF4-FFF2-40B4-BE49-F238E27FC236}">
              <a16:creationId xmlns:a16="http://schemas.microsoft.com/office/drawing/2014/main" id="{00000000-0008-0000-0500-0000CB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6" name="Text Box 3">
          <a:extLst>
            <a:ext uri="{FF2B5EF4-FFF2-40B4-BE49-F238E27FC236}">
              <a16:creationId xmlns:a16="http://schemas.microsoft.com/office/drawing/2014/main" id="{00000000-0008-0000-0500-0000CC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7" name="Text Box 3">
          <a:extLst>
            <a:ext uri="{FF2B5EF4-FFF2-40B4-BE49-F238E27FC236}">
              <a16:creationId xmlns:a16="http://schemas.microsoft.com/office/drawing/2014/main" id="{00000000-0008-0000-0500-0000CD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8" name="Text Box 3">
          <a:extLst>
            <a:ext uri="{FF2B5EF4-FFF2-40B4-BE49-F238E27FC236}">
              <a16:creationId xmlns:a16="http://schemas.microsoft.com/office/drawing/2014/main" id="{00000000-0008-0000-0500-0000CE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9" name="Text Box 3">
          <a:extLst>
            <a:ext uri="{FF2B5EF4-FFF2-40B4-BE49-F238E27FC236}">
              <a16:creationId xmlns:a16="http://schemas.microsoft.com/office/drawing/2014/main" id="{00000000-0008-0000-0500-0000CF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20" name="Text Box 3">
          <a:extLst>
            <a:ext uri="{FF2B5EF4-FFF2-40B4-BE49-F238E27FC236}">
              <a16:creationId xmlns:a16="http://schemas.microsoft.com/office/drawing/2014/main" id="{00000000-0008-0000-0500-0000D0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1" name="Text Box 3">
          <a:extLst>
            <a:ext uri="{FF2B5EF4-FFF2-40B4-BE49-F238E27FC236}">
              <a16:creationId xmlns:a16="http://schemas.microsoft.com/office/drawing/2014/main" id="{00000000-0008-0000-0500-0000D1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2" name="Text Box 3">
          <a:extLst>
            <a:ext uri="{FF2B5EF4-FFF2-40B4-BE49-F238E27FC236}">
              <a16:creationId xmlns:a16="http://schemas.microsoft.com/office/drawing/2014/main" id="{00000000-0008-0000-0500-0000D2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3" name="Text Box 3">
          <a:extLst>
            <a:ext uri="{FF2B5EF4-FFF2-40B4-BE49-F238E27FC236}">
              <a16:creationId xmlns:a16="http://schemas.microsoft.com/office/drawing/2014/main" id="{00000000-0008-0000-0500-0000D3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4" name="Text Box 3">
          <a:extLst>
            <a:ext uri="{FF2B5EF4-FFF2-40B4-BE49-F238E27FC236}">
              <a16:creationId xmlns:a16="http://schemas.microsoft.com/office/drawing/2014/main" id="{00000000-0008-0000-0500-0000D4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5" name="Text Box 3">
          <a:extLst>
            <a:ext uri="{FF2B5EF4-FFF2-40B4-BE49-F238E27FC236}">
              <a16:creationId xmlns:a16="http://schemas.microsoft.com/office/drawing/2014/main" id="{00000000-0008-0000-0500-0000D5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26" name="Text Box 3">
          <a:extLst>
            <a:ext uri="{FF2B5EF4-FFF2-40B4-BE49-F238E27FC236}">
              <a16:creationId xmlns:a16="http://schemas.microsoft.com/office/drawing/2014/main" id="{00000000-0008-0000-0500-0000D6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7" name="Text Box 3">
          <a:extLst>
            <a:ext uri="{FF2B5EF4-FFF2-40B4-BE49-F238E27FC236}">
              <a16:creationId xmlns:a16="http://schemas.microsoft.com/office/drawing/2014/main" id="{00000000-0008-0000-0500-0000D7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8" name="Text Box 3">
          <a:extLst>
            <a:ext uri="{FF2B5EF4-FFF2-40B4-BE49-F238E27FC236}">
              <a16:creationId xmlns:a16="http://schemas.microsoft.com/office/drawing/2014/main" id="{00000000-0008-0000-0500-0000D8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9" name="Text Box 3">
          <a:extLst>
            <a:ext uri="{FF2B5EF4-FFF2-40B4-BE49-F238E27FC236}">
              <a16:creationId xmlns:a16="http://schemas.microsoft.com/office/drawing/2014/main" id="{00000000-0008-0000-0500-0000D9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0" name="Text Box 3">
          <a:extLst>
            <a:ext uri="{FF2B5EF4-FFF2-40B4-BE49-F238E27FC236}">
              <a16:creationId xmlns:a16="http://schemas.microsoft.com/office/drawing/2014/main" id="{00000000-0008-0000-0500-0000DA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1" name="Text Box 3">
          <a:extLst>
            <a:ext uri="{FF2B5EF4-FFF2-40B4-BE49-F238E27FC236}">
              <a16:creationId xmlns:a16="http://schemas.microsoft.com/office/drawing/2014/main" id="{00000000-0008-0000-0500-0000DB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32" name="Text Box 3">
          <a:extLst>
            <a:ext uri="{FF2B5EF4-FFF2-40B4-BE49-F238E27FC236}">
              <a16:creationId xmlns:a16="http://schemas.microsoft.com/office/drawing/2014/main" id="{00000000-0008-0000-0500-0000DC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3" name="Text Box 3">
          <a:extLst>
            <a:ext uri="{FF2B5EF4-FFF2-40B4-BE49-F238E27FC236}">
              <a16:creationId xmlns:a16="http://schemas.microsoft.com/office/drawing/2014/main" id="{00000000-0008-0000-0500-0000DD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4" name="Text Box 3">
          <a:extLst>
            <a:ext uri="{FF2B5EF4-FFF2-40B4-BE49-F238E27FC236}">
              <a16:creationId xmlns:a16="http://schemas.microsoft.com/office/drawing/2014/main" id="{00000000-0008-0000-0500-0000DE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5" name="Text Box 3">
          <a:extLst>
            <a:ext uri="{FF2B5EF4-FFF2-40B4-BE49-F238E27FC236}">
              <a16:creationId xmlns:a16="http://schemas.microsoft.com/office/drawing/2014/main" id="{00000000-0008-0000-0500-0000DF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6" name="Text Box 3">
          <a:extLst>
            <a:ext uri="{FF2B5EF4-FFF2-40B4-BE49-F238E27FC236}">
              <a16:creationId xmlns:a16="http://schemas.microsoft.com/office/drawing/2014/main" id="{00000000-0008-0000-0500-0000E0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7" name="Text Box 3">
          <a:extLst>
            <a:ext uri="{FF2B5EF4-FFF2-40B4-BE49-F238E27FC236}">
              <a16:creationId xmlns:a16="http://schemas.microsoft.com/office/drawing/2014/main" id="{00000000-0008-0000-0500-0000E1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38" name="Text Box 3">
          <a:extLst>
            <a:ext uri="{FF2B5EF4-FFF2-40B4-BE49-F238E27FC236}">
              <a16:creationId xmlns:a16="http://schemas.microsoft.com/office/drawing/2014/main" id="{00000000-0008-0000-0500-0000E2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9" name="Text Box 3">
          <a:extLst>
            <a:ext uri="{FF2B5EF4-FFF2-40B4-BE49-F238E27FC236}">
              <a16:creationId xmlns:a16="http://schemas.microsoft.com/office/drawing/2014/main" id="{00000000-0008-0000-0500-0000E3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0" name="Text Box 3">
          <a:extLst>
            <a:ext uri="{FF2B5EF4-FFF2-40B4-BE49-F238E27FC236}">
              <a16:creationId xmlns:a16="http://schemas.microsoft.com/office/drawing/2014/main" id="{00000000-0008-0000-0500-0000E4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1" name="Text Box 3">
          <a:extLst>
            <a:ext uri="{FF2B5EF4-FFF2-40B4-BE49-F238E27FC236}">
              <a16:creationId xmlns:a16="http://schemas.microsoft.com/office/drawing/2014/main" id="{00000000-0008-0000-0500-0000E5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2" name="Text Box 3">
          <a:extLst>
            <a:ext uri="{FF2B5EF4-FFF2-40B4-BE49-F238E27FC236}">
              <a16:creationId xmlns:a16="http://schemas.microsoft.com/office/drawing/2014/main" id="{00000000-0008-0000-0500-0000E6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3" name="Text Box 3">
          <a:extLst>
            <a:ext uri="{FF2B5EF4-FFF2-40B4-BE49-F238E27FC236}">
              <a16:creationId xmlns:a16="http://schemas.microsoft.com/office/drawing/2014/main" id="{00000000-0008-0000-0500-0000E7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44" name="Text Box 3">
          <a:extLst>
            <a:ext uri="{FF2B5EF4-FFF2-40B4-BE49-F238E27FC236}">
              <a16:creationId xmlns:a16="http://schemas.microsoft.com/office/drawing/2014/main" id="{00000000-0008-0000-0500-0000E8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5" name="Text Box 3">
          <a:extLst>
            <a:ext uri="{FF2B5EF4-FFF2-40B4-BE49-F238E27FC236}">
              <a16:creationId xmlns:a16="http://schemas.microsoft.com/office/drawing/2014/main" id="{00000000-0008-0000-0500-0000E9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926</xdr:row>
      <xdr:rowOff>0</xdr:rowOff>
    </xdr:from>
    <xdr:ext cx="76200" cy="200025"/>
    <xdr:sp macro="" textlink="">
      <xdr:nvSpPr>
        <xdr:cNvPr id="746" name="Text Box 3">
          <a:extLst>
            <a:ext uri="{FF2B5EF4-FFF2-40B4-BE49-F238E27FC236}">
              <a16:creationId xmlns:a16="http://schemas.microsoft.com/office/drawing/2014/main" id="{00000000-0008-0000-0500-0000EA020000}"/>
            </a:ext>
          </a:extLst>
        </xdr:cNvPr>
        <xdr:cNvSpPr txBox="1">
          <a:spLocks noChangeArrowheads="1"/>
        </xdr:cNvSpPr>
      </xdr:nvSpPr>
      <xdr:spPr bwMode="auto">
        <a:xfrm>
          <a:off x="4257675" y="141370050"/>
          <a:ext cx="76200" cy="200025"/>
        </a:xfrm>
        <a:prstGeom prst="rect">
          <a:avLst/>
        </a:prstGeom>
        <a:noFill/>
        <a:ln w="9525">
          <a:noFill/>
          <a:miter lim="800000"/>
          <a:headEnd/>
          <a:tailEnd/>
        </a:ln>
      </xdr:spPr>
    </xdr:sp>
    <xdr:clientData/>
  </xdr:oneCellAnchor>
  <xdr:oneCellAnchor>
    <xdr:from>
      <xdr:col>0</xdr:col>
      <xdr:colOff>0</xdr:colOff>
      <xdr:row>926</xdr:row>
      <xdr:rowOff>0</xdr:rowOff>
    </xdr:from>
    <xdr:ext cx="28575" cy="104775"/>
    <xdr:sp macro="" textlink="">
      <xdr:nvSpPr>
        <xdr:cNvPr id="747" name="Text Box 4">
          <a:extLst>
            <a:ext uri="{FF2B5EF4-FFF2-40B4-BE49-F238E27FC236}">
              <a16:creationId xmlns:a16="http://schemas.microsoft.com/office/drawing/2014/main" id="{00000000-0008-0000-0500-0000EB020000}"/>
            </a:ext>
          </a:extLst>
        </xdr:cNvPr>
        <xdr:cNvSpPr txBox="1">
          <a:spLocks noChangeArrowheads="1"/>
        </xdr:cNvSpPr>
      </xdr:nvSpPr>
      <xdr:spPr bwMode="auto">
        <a:xfrm>
          <a:off x="0" y="141370050"/>
          <a:ext cx="28575" cy="104775"/>
        </a:xfrm>
        <a:prstGeom prst="rect">
          <a:avLst/>
        </a:prstGeom>
        <a:noFill/>
        <a:ln w="9525">
          <a:noFill/>
          <a:miter lim="800000"/>
          <a:headEnd/>
          <a:tailEnd/>
        </a:ln>
      </xdr:spPr>
    </xdr:sp>
    <xdr:clientData/>
  </xdr:oneCellAnchor>
  <xdr:oneCellAnchor>
    <xdr:from>
      <xdr:col>6</xdr:col>
      <xdr:colOff>590550</xdr:colOff>
      <xdr:row>925</xdr:row>
      <xdr:rowOff>0</xdr:rowOff>
    </xdr:from>
    <xdr:ext cx="76200" cy="196850"/>
    <xdr:sp macro="" textlink="">
      <xdr:nvSpPr>
        <xdr:cNvPr id="748" name="Text Box 3">
          <a:extLst>
            <a:ext uri="{FF2B5EF4-FFF2-40B4-BE49-F238E27FC236}">
              <a16:creationId xmlns:a16="http://schemas.microsoft.com/office/drawing/2014/main" id="{00000000-0008-0000-0500-0000EC020000}"/>
            </a:ext>
          </a:extLst>
        </xdr:cNvPr>
        <xdr:cNvSpPr txBox="1">
          <a:spLocks noChangeArrowheads="1"/>
        </xdr:cNvSpPr>
      </xdr:nvSpPr>
      <xdr:spPr bwMode="auto">
        <a:xfrm>
          <a:off x="4257675" y="141170025"/>
          <a:ext cx="76200" cy="196850"/>
        </a:xfrm>
        <a:prstGeom prst="rect">
          <a:avLst/>
        </a:prstGeom>
        <a:noFill/>
        <a:ln w="9525">
          <a:noFill/>
          <a:miter lim="800000"/>
          <a:headEnd/>
          <a:tailEnd/>
        </a:ln>
      </xdr:spPr>
    </xdr:sp>
    <xdr:clientData/>
  </xdr:oneCellAnchor>
  <xdr:oneCellAnchor>
    <xdr:from>
      <xdr:col>0</xdr:col>
      <xdr:colOff>0</xdr:colOff>
      <xdr:row>925</xdr:row>
      <xdr:rowOff>0</xdr:rowOff>
    </xdr:from>
    <xdr:ext cx="28575" cy="104775"/>
    <xdr:sp macro="" textlink="">
      <xdr:nvSpPr>
        <xdr:cNvPr id="749" name="Text Box 4">
          <a:extLst>
            <a:ext uri="{FF2B5EF4-FFF2-40B4-BE49-F238E27FC236}">
              <a16:creationId xmlns:a16="http://schemas.microsoft.com/office/drawing/2014/main" id="{00000000-0008-0000-0500-0000ED020000}"/>
            </a:ext>
          </a:extLst>
        </xdr:cNvPr>
        <xdr:cNvSpPr txBox="1">
          <a:spLocks noChangeArrowheads="1"/>
        </xdr:cNvSpPr>
      </xdr:nvSpPr>
      <xdr:spPr bwMode="auto">
        <a:xfrm>
          <a:off x="0" y="141170025"/>
          <a:ext cx="28575" cy="104775"/>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590550</xdr:colOff>
      <xdr:row>0</xdr:row>
      <xdr:rowOff>0</xdr:rowOff>
    </xdr:from>
    <xdr:ext cx="76200" cy="200025"/>
    <xdr:sp macro="" textlink="">
      <xdr:nvSpPr>
        <xdr:cNvPr id="432" name="Text Box 3">
          <a:extLst>
            <a:ext uri="{FF2B5EF4-FFF2-40B4-BE49-F238E27FC236}">
              <a16:creationId xmlns:a16="http://schemas.microsoft.com/office/drawing/2014/main" id="{91BE4720-3A8F-4BC1-974D-EAB11510FDB8}"/>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33" name="Text Box 3">
          <a:extLst>
            <a:ext uri="{FF2B5EF4-FFF2-40B4-BE49-F238E27FC236}">
              <a16:creationId xmlns:a16="http://schemas.microsoft.com/office/drawing/2014/main" id="{9F172C2F-EF85-471B-AF91-AAE8AE98DB38}"/>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4" name="Text Box 3">
          <a:extLst>
            <a:ext uri="{FF2B5EF4-FFF2-40B4-BE49-F238E27FC236}">
              <a16:creationId xmlns:a16="http://schemas.microsoft.com/office/drawing/2014/main" id="{99ED18F8-408C-4B33-B517-FF097ACBBD91}"/>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5" name="Text Box 3">
          <a:extLst>
            <a:ext uri="{FF2B5EF4-FFF2-40B4-BE49-F238E27FC236}">
              <a16:creationId xmlns:a16="http://schemas.microsoft.com/office/drawing/2014/main" id="{C27CA94C-4005-40B0-B273-D575549CFA7D}"/>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6" name="Text Box 3">
          <a:extLst>
            <a:ext uri="{FF2B5EF4-FFF2-40B4-BE49-F238E27FC236}">
              <a16:creationId xmlns:a16="http://schemas.microsoft.com/office/drawing/2014/main" id="{26DAA06C-D086-4727-AFCF-E2EC022C4FB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7" name="Text Box 3">
          <a:extLst>
            <a:ext uri="{FF2B5EF4-FFF2-40B4-BE49-F238E27FC236}">
              <a16:creationId xmlns:a16="http://schemas.microsoft.com/office/drawing/2014/main" id="{7E6665B4-4DAB-4FDB-ADCB-35F04A163D53}"/>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8" name="Text Box 3">
          <a:extLst>
            <a:ext uri="{FF2B5EF4-FFF2-40B4-BE49-F238E27FC236}">
              <a16:creationId xmlns:a16="http://schemas.microsoft.com/office/drawing/2014/main" id="{2AF1E7D6-3314-47E6-B5B3-353979773820}"/>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39" name="Text Box 3">
          <a:extLst>
            <a:ext uri="{FF2B5EF4-FFF2-40B4-BE49-F238E27FC236}">
              <a16:creationId xmlns:a16="http://schemas.microsoft.com/office/drawing/2014/main" id="{63F8AACA-C26E-424B-AE1E-E691787EBDED}"/>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0" name="Text Box 3">
          <a:extLst>
            <a:ext uri="{FF2B5EF4-FFF2-40B4-BE49-F238E27FC236}">
              <a16:creationId xmlns:a16="http://schemas.microsoft.com/office/drawing/2014/main" id="{7AE02032-0AC6-4FCD-A474-3E3C14072DD4}"/>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1" name="Text Box 3">
          <a:extLst>
            <a:ext uri="{FF2B5EF4-FFF2-40B4-BE49-F238E27FC236}">
              <a16:creationId xmlns:a16="http://schemas.microsoft.com/office/drawing/2014/main" id="{C75915C8-8B7B-4ABC-A492-C2F0530B7BC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2" name="Text Box 3">
          <a:extLst>
            <a:ext uri="{FF2B5EF4-FFF2-40B4-BE49-F238E27FC236}">
              <a16:creationId xmlns:a16="http://schemas.microsoft.com/office/drawing/2014/main" id="{D83E2642-5B25-4133-B66D-6B7B96072C9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3" name="Text Box 3">
          <a:extLst>
            <a:ext uri="{FF2B5EF4-FFF2-40B4-BE49-F238E27FC236}">
              <a16:creationId xmlns:a16="http://schemas.microsoft.com/office/drawing/2014/main" id="{AEFFC93B-233D-4339-8E24-F189B8330DC2}"/>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4" name="Text Box 3">
          <a:extLst>
            <a:ext uri="{FF2B5EF4-FFF2-40B4-BE49-F238E27FC236}">
              <a16:creationId xmlns:a16="http://schemas.microsoft.com/office/drawing/2014/main" id="{EA4BFAAE-FBAF-42B9-9307-C8D2F07E0A7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45" name="Text Box 3">
          <a:extLst>
            <a:ext uri="{FF2B5EF4-FFF2-40B4-BE49-F238E27FC236}">
              <a16:creationId xmlns:a16="http://schemas.microsoft.com/office/drawing/2014/main" id="{23ABD438-E544-4223-8A8A-D3204381B0A3}"/>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6" name="Text Box 3">
          <a:extLst>
            <a:ext uri="{FF2B5EF4-FFF2-40B4-BE49-F238E27FC236}">
              <a16:creationId xmlns:a16="http://schemas.microsoft.com/office/drawing/2014/main" id="{802B7631-7A6B-44D0-AB2E-469FC50531B1}"/>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7" name="Text Box 3">
          <a:extLst>
            <a:ext uri="{FF2B5EF4-FFF2-40B4-BE49-F238E27FC236}">
              <a16:creationId xmlns:a16="http://schemas.microsoft.com/office/drawing/2014/main" id="{DA785245-9EB1-4C26-A5FC-3B6A7690F774}"/>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8" name="Text Box 3">
          <a:extLst>
            <a:ext uri="{FF2B5EF4-FFF2-40B4-BE49-F238E27FC236}">
              <a16:creationId xmlns:a16="http://schemas.microsoft.com/office/drawing/2014/main" id="{8CBADD79-026E-46EC-B15A-AD9092E4DB6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9" name="Text Box 3">
          <a:extLst>
            <a:ext uri="{FF2B5EF4-FFF2-40B4-BE49-F238E27FC236}">
              <a16:creationId xmlns:a16="http://schemas.microsoft.com/office/drawing/2014/main" id="{92C9F95F-956F-42D3-87A8-E792BBE0F019}"/>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0" name="Text Box 3">
          <a:extLst>
            <a:ext uri="{FF2B5EF4-FFF2-40B4-BE49-F238E27FC236}">
              <a16:creationId xmlns:a16="http://schemas.microsoft.com/office/drawing/2014/main" id="{3E6FB5A3-35E8-43C4-AE23-FF71E932A2C6}"/>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51" name="Text Box 3">
          <a:extLst>
            <a:ext uri="{FF2B5EF4-FFF2-40B4-BE49-F238E27FC236}">
              <a16:creationId xmlns:a16="http://schemas.microsoft.com/office/drawing/2014/main" id="{94B21D06-C869-4BA2-AA18-7B5EE2890205}"/>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2" name="Text Box 3">
          <a:extLst>
            <a:ext uri="{FF2B5EF4-FFF2-40B4-BE49-F238E27FC236}">
              <a16:creationId xmlns:a16="http://schemas.microsoft.com/office/drawing/2014/main" id="{51F35F83-1D2D-4DC6-A78D-E26612D27823}"/>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3" name="Text Box 3">
          <a:extLst>
            <a:ext uri="{FF2B5EF4-FFF2-40B4-BE49-F238E27FC236}">
              <a16:creationId xmlns:a16="http://schemas.microsoft.com/office/drawing/2014/main" id="{9605DCE7-23BB-49E4-9D34-639B9A37BDEA}"/>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4" name="Text Box 3">
          <a:extLst>
            <a:ext uri="{FF2B5EF4-FFF2-40B4-BE49-F238E27FC236}">
              <a16:creationId xmlns:a16="http://schemas.microsoft.com/office/drawing/2014/main" id="{4E14F486-CE86-4774-A284-A3A27FA4A995}"/>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5" name="Text Box 3">
          <a:extLst>
            <a:ext uri="{FF2B5EF4-FFF2-40B4-BE49-F238E27FC236}">
              <a16:creationId xmlns:a16="http://schemas.microsoft.com/office/drawing/2014/main" id="{E9740A62-2FC8-4D2B-AC19-588477577E48}"/>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6" name="Text Box 3">
          <a:extLst>
            <a:ext uri="{FF2B5EF4-FFF2-40B4-BE49-F238E27FC236}">
              <a16:creationId xmlns:a16="http://schemas.microsoft.com/office/drawing/2014/main" id="{89856897-7712-4D28-89D8-2AEA30A185E6}"/>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57" name="Text Box 3">
          <a:extLst>
            <a:ext uri="{FF2B5EF4-FFF2-40B4-BE49-F238E27FC236}">
              <a16:creationId xmlns:a16="http://schemas.microsoft.com/office/drawing/2014/main" id="{C128D0BE-02E6-4D5B-B8F8-7AF05459206E}"/>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8" name="Text Box 3">
          <a:extLst>
            <a:ext uri="{FF2B5EF4-FFF2-40B4-BE49-F238E27FC236}">
              <a16:creationId xmlns:a16="http://schemas.microsoft.com/office/drawing/2014/main" id="{14A64454-2887-4BAA-A856-C3D611B4837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9" name="Text Box 3">
          <a:extLst>
            <a:ext uri="{FF2B5EF4-FFF2-40B4-BE49-F238E27FC236}">
              <a16:creationId xmlns:a16="http://schemas.microsoft.com/office/drawing/2014/main" id="{59145A06-C213-49E3-938B-26B70ECFC091}"/>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0" name="Text Box 3">
          <a:extLst>
            <a:ext uri="{FF2B5EF4-FFF2-40B4-BE49-F238E27FC236}">
              <a16:creationId xmlns:a16="http://schemas.microsoft.com/office/drawing/2014/main" id="{21E5229D-E93E-4026-8188-725AEC53F624}"/>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1" name="Text Box 3">
          <a:extLst>
            <a:ext uri="{FF2B5EF4-FFF2-40B4-BE49-F238E27FC236}">
              <a16:creationId xmlns:a16="http://schemas.microsoft.com/office/drawing/2014/main" id="{02CCBC74-0882-4CD3-93BC-52A0DE083FD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2" name="Text Box 3">
          <a:extLst>
            <a:ext uri="{FF2B5EF4-FFF2-40B4-BE49-F238E27FC236}">
              <a16:creationId xmlns:a16="http://schemas.microsoft.com/office/drawing/2014/main" id="{2520EF3F-FA50-4126-BF76-6107E5D4743E}"/>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63" name="Text Box 3">
          <a:extLst>
            <a:ext uri="{FF2B5EF4-FFF2-40B4-BE49-F238E27FC236}">
              <a16:creationId xmlns:a16="http://schemas.microsoft.com/office/drawing/2014/main" id="{D6915FB7-6C0A-4AC7-81E0-B9CFA6768A23}"/>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4" name="Text Box 3">
          <a:extLst>
            <a:ext uri="{FF2B5EF4-FFF2-40B4-BE49-F238E27FC236}">
              <a16:creationId xmlns:a16="http://schemas.microsoft.com/office/drawing/2014/main" id="{8CFC2DCC-82AC-47BE-BCBF-B5152B9DE379}"/>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5" name="Text Box 3">
          <a:extLst>
            <a:ext uri="{FF2B5EF4-FFF2-40B4-BE49-F238E27FC236}">
              <a16:creationId xmlns:a16="http://schemas.microsoft.com/office/drawing/2014/main" id="{251A6F45-FF00-4790-A8A1-3CB5E2A63E7E}"/>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6" name="Text Box 3">
          <a:extLst>
            <a:ext uri="{FF2B5EF4-FFF2-40B4-BE49-F238E27FC236}">
              <a16:creationId xmlns:a16="http://schemas.microsoft.com/office/drawing/2014/main" id="{A29319E3-6C8E-4842-8302-571F468F15E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7" name="Text Box 3">
          <a:extLst>
            <a:ext uri="{FF2B5EF4-FFF2-40B4-BE49-F238E27FC236}">
              <a16:creationId xmlns:a16="http://schemas.microsoft.com/office/drawing/2014/main" id="{63736842-596D-4EC4-B246-8324D7E6D6B9}"/>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8" name="Text Box 3">
          <a:extLst>
            <a:ext uri="{FF2B5EF4-FFF2-40B4-BE49-F238E27FC236}">
              <a16:creationId xmlns:a16="http://schemas.microsoft.com/office/drawing/2014/main" id="{0B6DBA82-D36B-4081-A159-C33E4A41AD4D}"/>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69" name="Text Box 3">
          <a:extLst>
            <a:ext uri="{FF2B5EF4-FFF2-40B4-BE49-F238E27FC236}">
              <a16:creationId xmlns:a16="http://schemas.microsoft.com/office/drawing/2014/main" id="{BAF780E4-F836-4047-AD39-B5F56A291C41}"/>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0" name="Text Box 3">
          <a:extLst>
            <a:ext uri="{FF2B5EF4-FFF2-40B4-BE49-F238E27FC236}">
              <a16:creationId xmlns:a16="http://schemas.microsoft.com/office/drawing/2014/main" id="{3405B377-9E76-4883-A76D-8426090C5C9A}"/>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1</xdr:row>
      <xdr:rowOff>0</xdr:rowOff>
    </xdr:from>
    <xdr:ext cx="76200" cy="200025"/>
    <xdr:sp macro="" textlink="">
      <xdr:nvSpPr>
        <xdr:cNvPr id="471" name="Text Box 3">
          <a:extLst>
            <a:ext uri="{FF2B5EF4-FFF2-40B4-BE49-F238E27FC236}">
              <a16:creationId xmlns:a16="http://schemas.microsoft.com/office/drawing/2014/main" id="{24F240B9-B3DD-43AE-B4B6-7D9AF496F78E}"/>
            </a:ext>
          </a:extLst>
        </xdr:cNvPr>
        <xdr:cNvSpPr txBox="1">
          <a:spLocks noChangeArrowheads="1"/>
        </xdr:cNvSpPr>
      </xdr:nvSpPr>
      <xdr:spPr bwMode="auto">
        <a:xfrm>
          <a:off x="4354830" y="166146480"/>
          <a:ext cx="76200" cy="200025"/>
        </a:xfrm>
        <a:prstGeom prst="rect">
          <a:avLst/>
        </a:prstGeom>
        <a:noFill/>
        <a:ln w="9525">
          <a:noFill/>
          <a:miter lim="800000"/>
          <a:headEnd/>
          <a:tailEnd/>
        </a:ln>
      </xdr:spPr>
    </xdr:sp>
    <xdr:clientData/>
  </xdr:oneCellAnchor>
  <xdr:oneCellAnchor>
    <xdr:from>
      <xdr:col>0</xdr:col>
      <xdr:colOff>0</xdr:colOff>
      <xdr:row>1</xdr:row>
      <xdr:rowOff>0</xdr:rowOff>
    </xdr:from>
    <xdr:ext cx="28575" cy="104775"/>
    <xdr:sp macro="" textlink="">
      <xdr:nvSpPr>
        <xdr:cNvPr id="472" name="Text Box 4">
          <a:extLst>
            <a:ext uri="{FF2B5EF4-FFF2-40B4-BE49-F238E27FC236}">
              <a16:creationId xmlns:a16="http://schemas.microsoft.com/office/drawing/2014/main" id="{22AB52A7-4BAE-4C31-9260-F69A7BCA052C}"/>
            </a:ext>
          </a:extLst>
        </xdr:cNvPr>
        <xdr:cNvSpPr txBox="1">
          <a:spLocks noChangeArrowheads="1"/>
        </xdr:cNvSpPr>
      </xdr:nvSpPr>
      <xdr:spPr bwMode="auto">
        <a:xfrm>
          <a:off x="0" y="166146480"/>
          <a:ext cx="28575" cy="104775"/>
        </a:xfrm>
        <a:prstGeom prst="rect">
          <a:avLst/>
        </a:prstGeom>
        <a:noFill/>
        <a:ln w="9525">
          <a:noFill/>
          <a:miter lim="800000"/>
          <a:headEnd/>
          <a:tailEnd/>
        </a:ln>
      </xdr:spPr>
    </xdr:sp>
    <xdr:clientData/>
  </xdr:oneCellAnchor>
  <xdr:oneCellAnchor>
    <xdr:from>
      <xdr:col>6</xdr:col>
      <xdr:colOff>590550</xdr:colOff>
      <xdr:row>1</xdr:row>
      <xdr:rowOff>0</xdr:rowOff>
    </xdr:from>
    <xdr:ext cx="76200" cy="196850"/>
    <xdr:sp macro="" textlink="">
      <xdr:nvSpPr>
        <xdr:cNvPr id="473" name="Text Box 3">
          <a:extLst>
            <a:ext uri="{FF2B5EF4-FFF2-40B4-BE49-F238E27FC236}">
              <a16:creationId xmlns:a16="http://schemas.microsoft.com/office/drawing/2014/main" id="{1416DE18-D544-4E20-A738-FB12F09282A1}"/>
            </a:ext>
          </a:extLst>
        </xdr:cNvPr>
        <xdr:cNvSpPr txBox="1">
          <a:spLocks noChangeArrowheads="1"/>
        </xdr:cNvSpPr>
      </xdr:nvSpPr>
      <xdr:spPr bwMode="auto">
        <a:xfrm>
          <a:off x="4354830" y="166146480"/>
          <a:ext cx="76200" cy="196850"/>
        </a:xfrm>
        <a:prstGeom prst="rect">
          <a:avLst/>
        </a:prstGeom>
        <a:noFill/>
        <a:ln w="9525">
          <a:noFill/>
          <a:miter lim="800000"/>
          <a:headEnd/>
          <a:tailEnd/>
        </a:ln>
      </xdr:spPr>
    </xdr:sp>
    <xdr:clientData/>
  </xdr:oneCellAnchor>
  <xdr:oneCellAnchor>
    <xdr:from>
      <xdr:col>0</xdr:col>
      <xdr:colOff>0</xdr:colOff>
      <xdr:row>1</xdr:row>
      <xdr:rowOff>0</xdr:rowOff>
    </xdr:from>
    <xdr:ext cx="28575" cy="104775"/>
    <xdr:sp macro="" textlink="">
      <xdr:nvSpPr>
        <xdr:cNvPr id="474" name="Text Box 4">
          <a:extLst>
            <a:ext uri="{FF2B5EF4-FFF2-40B4-BE49-F238E27FC236}">
              <a16:creationId xmlns:a16="http://schemas.microsoft.com/office/drawing/2014/main" id="{D33632DE-8F0E-4E66-9D91-A5E13EFE8982}"/>
            </a:ext>
          </a:extLst>
        </xdr:cNvPr>
        <xdr:cNvSpPr txBox="1">
          <a:spLocks noChangeArrowheads="1"/>
        </xdr:cNvSpPr>
      </xdr:nvSpPr>
      <xdr:spPr bwMode="auto">
        <a:xfrm>
          <a:off x="0" y="166146480"/>
          <a:ext cx="28575" cy="10477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5" name="Text Box 3">
          <a:extLst>
            <a:ext uri="{FF2B5EF4-FFF2-40B4-BE49-F238E27FC236}">
              <a16:creationId xmlns:a16="http://schemas.microsoft.com/office/drawing/2014/main" id="{D3C80944-9E85-458E-B427-E2A29F820FC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76" name="Text Box 3">
          <a:extLst>
            <a:ext uri="{FF2B5EF4-FFF2-40B4-BE49-F238E27FC236}">
              <a16:creationId xmlns:a16="http://schemas.microsoft.com/office/drawing/2014/main" id="{CA30CBD7-F89E-41A1-9A76-858CD06B0654}"/>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7" name="Text Box 3">
          <a:extLst>
            <a:ext uri="{FF2B5EF4-FFF2-40B4-BE49-F238E27FC236}">
              <a16:creationId xmlns:a16="http://schemas.microsoft.com/office/drawing/2014/main" id="{8D6D009A-83C8-4597-B8D1-E2DB48C2BD6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8" name="Text Box 3">
          <a:extLst>
            <a:ext uri="{FF2B5EF4-FFF2-40B4-BE49-F238E27FC236}">
              <a16:creationId xmlns:a16="http://schemas.microsoft.com/office/drawing/2014/main" id="{6311FF45-54B5-4B7F-B6AE-4A0C486CB5C9}"/>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9" name="Text Box 3">
          <a:extLst>
            <a:ext uri="{FF2B5EF4-FFF2-40B4-BE49-F238E27FC236}">
              <a16:creationId xmlns:a16="http://schemas.microsoft.com/office/drawing/2014/main" id="{72F7C7EF-2DAE-464F-B053-0689ADED7AA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0" name="Text Box 3">
          <a:extLst>
            <a:ext uri="{FF2B5EF4-FFF2-40B4-BE49-F238E27FC236}">
              <a16:creationId xmlns:a16="http://schemas.microsoft.com/office/drawing/2014/main" id="{FB55A2DA-75CF-4678-9B02-9DDCF5C0195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1" name="Text Box 3">
          <a:extLst>
            <a:ext uri="{FF2B5EF4-FFF2-40B4-BE49-F238E27FC236}">
              <a16:creationId xmlns:a16="http://schemas.microsoft.com/office/drawing/2014/main" id="{3016C5DD-8BF3-4020-8838-18D97DF6431A}"/>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82" name="Text Box 3">
          <a:extLst>
            <a:ext uri="{FF2B5EF4-FFF2-40B4-BE49-F238E27FC236}">
              <a16:creationId xmlns:a16="http://schemas.microsoft.com/office/drawing/2014/main" id="{6656E90C-C104-473D-8E33-11FC61D0B034}"/>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3" name="Text Box 3">
          <a:extLst>
            <a:ext uri="{FF2B5EF4-FFF2-40B4-BE49-F238E27FC236}">
              <a16:creationId xmlns:a16="http://schemas.microsoft.com/office/drawing/2014/main" id="{80F0376B-5A60-486A-89AE-AC17EEAD37D9}"/>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4" name="Text Box 3">
          <a:extLst>
            <a:ext uri="{FF2B5EF4-FFF2-40B4-BE49-F238E27FC236}">
              <a16:creationId xmlns:a16="http://schemas.microsoft.com/office/drawing/2014/main" id="{24FAD194-0B58-4D5B-AF07-C9F318B9006C}"/>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5" name="Text Box 3">
          <a:extLst>
            <a:ext uri="{FF2B5EF4-FFF2-40B4-BE49-F238E27FC236}">
              <a16:creationId xmlns:a16="http://schemas.microsoft.com/office/drawing/2014/main" id="{AF915D6B-8AC0-4ADD-97B2-BDA526A22D72}"/>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6" name="Text Box 3">
          <a:extLst>
            <a:ext uri="{FF2B5EF4-FFF2-40B4-BE49-F238E27FC236}">
              <a16:creationId xmlns:a16="http://schemas.microsoft.com/office/drawing/2014/main" id="{38997355-108A-4306-A678-D7CE2791C1D4}"/>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7" name="Text Box 3">
          <a:extLst>
            <a:ext uri="{FF2B5EF4-FFF2-40B4-BE49-F238E27FC236}">
              <a16:creationId xmlns:a16="http://schemas.microsoft.com/office/drawing/2014/main" id="{F1C7520E-77C2-4373-9255-DDEEB866359C}"/>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88" name="Text Box 3">
          <a:extLst>
            <a:ext uri="{FF2B5EF4-FFF2-40B4-BE49-F238E27FC236}">
              <a16:creationId xmlns:a16="http://schemas.microsoft.com/office/drawing/2014/main" id="{1799FE09-F353-45EF-A1DE-ED5B6020853B}"/>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9" name="Text Box 3">
          <a:extLst>
            <a:ext uri="{FF2B5EF4-FFF2-40B4-BE49-F238E27FC236}">
              <a16:creationId xmlns:a16="http://schemas.microsoft.com/office/drawing/2014/main" id="{87C594DF-811B-45AD-ABD0-F60DF54DAF86}"/>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0" name="Text Box 3">
          <a:extLst>
            <a:ext uri="{FF2B5EF4-FFF2-40B4-BE49-F238E27FC236}">
              <a16:creationId xmlns:a16="http://schemas.microsoft.com/office/drawing/2014/main" id="{FE1469E2-FE03-49E3-BED5-00963E40A207}"/>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1" name="Text Box 3">
          <a:extLst>
            <a:ext uri="{FF2B5EF4-FFF2-40B4-BE49-F238E27FC236}">
              <a16:creationId xmlns:a16="http://schemas.microsoft.com/office/drawing/2014/main" id="{F00BEE22-545F-44D2-9755-E202995677F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2" name="Text Box 3">
          <a:extLst>
            <a:ext uri="{FF2B5EF4-FFF2-40B4-BE49-F238E27FC236}">
              <a16:creationId xmlns:a16="http://schemas.microsoft.com/office/drawing/2014/main" id="{71FDAE7A-71F9-47E7-87FC-C4BCD1119787}"/>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3" name="Text Box 3">
          <a:extLst>
            <a:ext uri="{FF2B5EF4-FFF2-40B4-BE49-F238E27FC236}">
              <a16:creationId xmlns:a16="http://schemas.microsoft.com/office/drawing/2014/main" id="{DA92B84A-6183-489A-9819-70C3BDDFB869}"/>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94" name="Text Box 3">
          <a:extLst>
            <a:ext uri="{FF2B5EF4-FFF2-40B4-BE49-F238E27FC236}">
              <a16:creationId xmlns:a16="http://schemas.microsoft.com/office/drawing/2014/main" id="{BC520A62-B58B-421F-BDC7-F04F2648DC78}"/>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5" name="Text Box 3">
          <a:extLst>
            <a:ext uri="{FF2B5EF4-FFF2-40B4-BE49-F238E27FC236}">
              <a16:creationId xmlns:a16="http://schemas.microsoft.com/office/drawing/2014/main" id="{2F840C97-783E-47AB-8058-D4B06BA488B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6" name="Text Box 3">
          <a:extLst>
            <a:ext uri="{FF2B5EF4-FFF2-40B4-BE49-F238E27FC236}">
              <a16:creationId xmlns:a16="http://schemas.microsoft.com/office/drawing/2014/main" id="{317B6DBC-2C69-439B-8B1B-15007325F0C7}"/>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7" name="Text Box 3">
          <a:extLst>
            <a:ext uri="{FF2B5EF4-FFF2-40B4-BE49-F238E27FC236}">
              <a16:creationId xmlns:a16="http://schemas.microsoft.com/office/drawing/2014/main" id="{05BEA244-25B3-4E44-9C21-AFEABE03623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8" name="Text Box 3">
          <a:extLst>
            <a:ext uri="{FF2B5EF4-FFF2-40B4-BE49-F238E27FC236}">
              <a16:creationId xmlns:a16="http://schemas.microsoft.com/office/drawing/2014/main" id="{C2BAE158-F0BE-48B5-877A-88DCDAE891C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9" name="Text Box 3">
          <a:extLst>
            <a:ext uri="{FF2B5EF4-FFF2-40B4-BE49-F238E27FC236}">
              <a16:creationId xmlns:a16="http://schemas.microsoft.com/office/drawing/2014/main" id="{4FB4F408-21A7-4B3B-8196-1AEF639D92FA}"/>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00" name="Text Box 3">
          <a:extLst>
            <a:ext uri="{FF2B5EF4-FFF2-40B4-BE49-F238E27FC236}">
              <a16:creationId xmlns:a16="http://schemas.microsoft.com/office/drawing/2014/main" id="{4745F82E-5BEB-4F3B-A3B6-B0E35834C883}"/>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1" name="Text Box 3">
          <a:extLst>
            <a:ext uri="{FF2B5EF4-FFF2-40B4-BE49-F238E27FC236}">
              <a16:creationId xmlns:a16="http://schemas.microsoft.com/office/drawing/2014/main" id="{A17DEEDA-D950-403A-A590-F9DB6B9B20BE}"/>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2" name="Text Box 3">
          <a:extLst>
            <a:ext uri="{FF2B5EF4-FFF2-40B4-BE49-F238E27FC236}">
              <a16:creationId xmlns:a16="http://schemas.microsoft.com/office/drawing/2014/main" id="{3F35B230-6316-46E6-9A31-C4028C08DE42}"/>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3" name="Text Box 3">
          <a:extLst>
            <a:ext uri="{FF2B5EF4-FFF2-40B4-BE49-F238E27FC236}">
              <a16:creationId xmlns:a16="http://schemas.microsoft.com/office/drawing/2014/main" id="{5EB36645-6A5C-4DDC-ABD8-168AF8F8D95F}"/>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4" name="Text Box 3">
          <a:extLst>
            <a:ext uri="{FF2B5EF4-FFF2-40B4-BE49-F238E27FC236}">
              <a16:creationId xmlns:a16="http://schemas.microsoft.com/office/drawing/2014/main" id="{87F96158-2F56-44FD-89E0-EAC3F56E8E10}"/>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5" name="Text Box 3">
          <a:extLst>
            <a:ext uri="{FF2B5EF4-FFF2-40B4-BE49-F238E27FC236}">
              <a16:creationId xmlns:a16="http://schemas.microsoft.com/office/drawing/2014/main" id="{35C6738E-5ECB-4179-9AFB-7C6447CE6233}"/>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06" name="Text Box 3">
          <a:extLst>
            <a:ext uri="{FF2B5EF4-FFF2-40B4-BE49-F238E27FC236}">
              <a16:creationId xmlns:a16="http://schemas.microsoft.com/office/drawing/2014/main" id="{B83DEC2B-AA9E-484E-91FF-13C04CCE6E9B}"/>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7" name="Text Box 3">
          <a:extLst>
            <a:ext uri="{FF2B5EF4-FFF2-40B4-BE49-F238E27FC236}">
              <a16:creationId xmlns:a16="http://schemas.microsoft.com/office/drawing/2014/main" id="{3048B42B-B7FA-45B2-943A-180EFF114331}"/>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8" name="Text Box 3">
          <a:extLst>
            <a:ext uri="{FF2B5EF4-FFF2-40B4-BE49-F238E27FC236}">
              <a16:creationId xmlns:a16="http://schemas.microsoft.com/office/drawing/2014/main" id="{D192EC44-5BB9-48B8-A3EC-5FA2443378F1}"/>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9" name="Text Box 3">
          <a:extLst>
            <a:ext uri="{FF2B5EF4-FFF2-40B4-BE49-F238E27FC236}">
              <a16:creationId xmlns:a16="http://schemas.microsoft.com/office/drawing/2014/main" id="{1A4576E5-4DFB-4357-9837-01F95A13F83B}"/>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10" name="Text Box 3">
          <a:extLst>
            <a:ext uri="{FF2B5EF4-FFF2-40B4-BE49-F238E27FC236}">
              <a16:creationId xmlns:a16="http://schemas.microsoft.com/office/drawing/2014/main" id="{7E8E5053-E357-4368-9763-424E0CBD815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11" name="Text Box 3">
          <a:extLst>
            <a:ext uri="{FF2B5EF4-FFF2-40B4-BE49-F238E27FC236}">
              <a16:creationId xmlns:a16="http://schemas.microsoft.com/office/drawing/2014/main" id="{68F60D99-B918-4B8D-B74E-AEF8702B8E1D}"/>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12" name="Text Box 3">
          <a:extLst>
            <a:ext uri="{FF2B5EF4-FFF2-40B4-BE49-F238E27FC236}">
              <a16:creationId xmlns:a16="http://schemas.microsoft.com/office/drawing/2014/main" id="{8AAAFE82-1096-480B-AAA1-440FB9AC2760}"/>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13" name="Text Box 3">
          <a:extLst>
            <a:ext uri="{FF2B5EF4-FFF2-40B4-BE49-F238E27FC236}">
              <a16:creationId xmlns:a16="http://schemas.microsoft.com/office/drawing/2014/main" id="{DC34E97E-A2A7-4F58-96EF-A9C03F469E3A}"/>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1</xdr:row>
      <xdr:rowOff>0</xdr:rowOff>
    </xdr:from>
    <xdr:ext cx="76200" cy="200025"/>
    <xdr:sp macro="" textlink="">
      <xdr:nvSpPr>
        <xdr:cNvPr id="514" name="Text Box 3">
          <a:extLst>
            <a:ext uri="{FF2B5EF4-FFF2-40B4-BE49-F238E27FC236}">
              <a16:creationId xmlns:a16="http://schemas.microsoft.com/office/drawing/2014/main" id="{CBB98AAB-CCAB-4C96-A6EF-415C1DE21AAD}"/>
            </a:ext>
          </a:extLst>
        </xdr:cNvPr>
        <xdr:cNvSpPr txBox="1">
          <a:spLocks noChangeArrowheads="1"/>
        </xdr:cNvSpPr>
      </xdr:nvSpPr>
      <xdr:spPr bwMode="auto">
        <a:xfrm>
          <a:off x="4354830" y="166146480"/>
          <a:ext cx="76200" cy="200025"/>
        </a:xfrm>
        <a:prstGeom prst="rect">
          <a:avLst/>
        </a:prstGeom>
        <a:noFill/>
        <a:ln w="9525">
          <a:noFill/>
          <a:miter lim="800000"/>
          <a:headEnd/>
          <a:tailEnd/>
        </a:ln>
      </xdr:spPr>
    </xdr:sp>
    <xdr:clientData/>
  </xdr:oneCellAnchor>
  <xdr:oneCellAnchor>
    <xdr:from>
      <xdr:col>0</xdr:col>
      <xdr:colOff>0</xdr:colOff>
      <xdr:row>1</xdr:row>
      <xdr:rowOff>0</xdr:rowOff>
    </xdr:from>
    <xdr:ext cx="28575" cy="104775"/>
    <xdr:sp macro="" textlink="">
      <xdr:nvSpPr>
        <xdr:cNvPr id="515" name="Text Box 4">
          <a:extLst>
            <a:ext uri="{FF2B5EF4-FFF2-40B4-BE49-F238E27FC236}">
              <a16:creationId xmlns:a16="http://schemas.microsoft.com/office/drawing/2014/main" id="{765873BB-FC3A-41BA-A4AE-27BFE7B4C6AB}"/>
            </a:ext>
          </a:extLst>
        </xdr:cNvPr>
        <xdr:cNvSpPr txBox="1">
          <a:spLocks noChangeArrowheads="1"/>
        </xdr:cNvSpPr>
      </xdr:nvSpPr>
      <xdr:spPr bwMode="auto">
        <a:xfrm>
          <a:off x="0" y="166146480"/>
          <a:ext cx="28575" cy="10477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16" name="Text Box 3">
          <a:extLst>
            <a:ext uri="{FF2B5EF4-FFF2-40B4-BE49-F238E27FC236}">
              <a16:creationId xmlns:a16="http://schemas.microsoft.com/office/drawing/2014/main" id="{8B40C490-6FA7-44B1-BD40-955560E3FE2E}"/>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0</xdr:col>
      <xdr:colOff>0</xdr:colOff>
      <xdr:row>0</xdr:row>
      <xdr:rowOff>0</xdr:rowOff>
    </xdr:from>
    <xdr:ext cx="28575" cy="104775"/>
    <xdr:sp macro="" textlink="">
      <xdr:nvSpPr>
        <xdr:cNvPr id="517" name="Text Box 4">
          <a:extLst>
            <a:ext uri="{FF2B5EF4-FFF2-40B4-BE49-F238E27FC236}">
              <a16:creationId xmlns:a16="http://schemas.microsoft.com/office/drawing/2014/main" id="{DFE4A3E4-00ED-4A90-A3A4-7DFDBF3F966F}"/>
            </a:ext>
          </a:extLst>
        </xdr:cNvPr>
        <xdr:cNvSpPr txBox="1">
          <a:spLocks noChangeArrowheads="1"/>
        </xdr:cNvSpPr>
      </xdr:nvSpPr>
      <xdr:spPr bwMode="auto">
        <a:xfrm>
          <a:off x="0" y="165978840"/>
          <a:ext cx="28575" cy="10477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18" name="Text Box 3">
          <a:extLst>
            <a:ext uri="{FF2B5EF4-FFF2-40B4-BE49-F238E27FC236}">
              <a16:creationId xmlns:a16="http://schemas.microsoft.com/office/drawing/2014/main" id="{DB87DE58-B836-4C7E-B6A0-7DDEBF3AF7F2}"/>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19" name="Text Box 3">
          <a:extLst>
            <a:ext uri="{FF2B5EF4-FFF2-40B4-BE49-F238E27FC236}">
              <a16:creationId xmlns:a16="http://schemas.microsoft.com/office/drawing/2014/main" id="{B9752000-70C8-4E1D-9B91-9F677705E23E}"/>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0" name="Text Box 3">
          <a:extLst>
            <a:ext uri="{FF2B5EF4-FFF2-40B4-BE49-F238E27FC236}">
              <a16:creationId xmlns:a16="http://schemas.microsoft.com/office/drawing/2014/main" id="{F59BF50E-00E3-48F2-BE15-29B9B82438C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1" name="Text Box 3">
          <a:extLst>
            <a:ext uri="{FF2B5EF4-FFF2-40B4-BE49-F238E27FC236}">
              <a16:creationId xmlns:a16="http://schemas.microsoft.com/office/drawing/2014/main" id="{19FBD16F-4F98-4F1C-8C61-67A308AFB22F}"/>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2" name="Text Box 3">
          <a:extLst>
            <a:ext uri="{FF2B5EF4-FFF2-40B4-BE49-F238E27FC236}">
              <a16:creationId xmlns:a16="http://schemas.microsoft.com/office/drawing/2014/main" id="{AB47326A-4F7F-4F04-A5AE-59ECA948EBB3}"/>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3" name="Text Box 3">
          <a:extLst>
            <a:ext uri="{FF2B5EF4-FFF2-40B4-BE49-F238E27FC236}">
              <a16:creationId xmlns:a16="http://schemas.microsoft.com/office/drawing/2014/main" id="{30F7EF19-6C5B-4626-8FB9-DAEA018B4908}"/>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4" name="Text Box 3">
          <a:extLst>
            <a:ext uri="{FF2B5EF4-FFF2-40B4-BE49-F238E27FC236}">
              <a16:creationId xmlns:a16="http://schemas.microsoft.com/office/drawing/2014/main" id="{92314D3F-994B-4D15-89B7-04F3FB6550B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25" name="Text Box 3">
          <a:extLst>
            <a:ext uri="{FF2B5EF4-FFF2-40B4-BE49-F238E27FC236}">
              <a16:creationId xmlns:a16="http://schemas.microsoft.com/office/drawing/2014/main" id="{764CD487-C834-4128-A00C-634FEDDC9F80}"/>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6" name="Text Box 3">
          <a:extLst>
            <a:ext uri="{FF2B5EF4-FFF2-40B4-BE49-F238E27FC236}">
              <a16:creationId xmlns:a16="http://schemas.microsoft.com/office/drawing/2014/main" id="{7D963141-DE11-4A33-928C-83F33873E809}"/>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7" name="Text Box 3">
          <a:extLst>
            <a:ext uri="{FF2B5EF4-FFF2-40B4-BE49-F238E27FC236}">
              <a16:creationId xmlns:a16="http://schemas.microsoft.com/office/drawing/2014/main" id="{EFDC1BF7-11FE-4F2B-B7D7-0958522521DA}"/>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8" name="Text Box 3">
          <a:extLst>
            <a:ext uri="{FF2B5EF4-FFF2-40B4-BE49-F238E27FC236}">
              <a16:creationId xmlns:a16="http://schemas.microsoft.com/office/drawing/2014/main" id="{5FFF08EC-990F-4616-85F7-A22BF85810E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9" name="Text Box 3">
          <a:extLst>
            <a:ext uri="{FF2B5EF4-FFF2-40B4-BE49-F238E27FC236}">
              <a16:creationId xmlns:a16="http://schemas.microsoft.com/office/drawing/2014/main" id="{4255AF49-C9B7-4598-9CEA-B868E5DC956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0" name="Text Box 3">
          <a:extLst>
            <a:ext uri="{FF2B5EF4-FFF2-40B4-BE49-F238E27FC236}">
              <a16:creationId xmlns:a16="http://schemas.microsoft.com/office/drawing/2014/main" id="{4764343B-ED50-48ED-B9DE-741554DE54D8}"/>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31" name="Text Box 3">
          <a:extLst>
            <a:ext uri="{FF2B5EF4-FFF2-40B4-BE49-F238E27FC236}">
              <a16:creationId xmlns:a16="http://schemas.microsoft.com/office/drawing/2014/main" id="{FF2E3E7C-328A-4467-AF8D-7E9D189CCF97}"/>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2" name="Text Box 3">
          <a:extLst>
            <a:ext uri="{FF2B5EF4-FFF2-40B4-BE49-F238E27FC236}">
              <a16:creationId xmlns:a16="http://schemas.microsoft.com/office/drawing/2014/main" id="{0E1B0918-753B-402D-AEE6-8ED1BCD4A4F9}"/>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3" name="Text Box 3">
          <a:extLst>
            <a:ext uri="{FF2B5EF4-FFF2-40B4-BE49-F238E27FC236}">
              <a16:creationId xmlns:a16="http://schemas.microsoft.com/office/drawing/2014/main" id="{5F7BAACD-67AE-440D-9481-37887B958C7D}"/>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4" name="Text Box 3">
          <a:extLst>
            <a:ext uri="{FF2B5EF4-FFF2-40B4-BE49-F238E27FC236}">
              <a16:creationId xmlns:a16="http://schemas.microsoft.com/office/drawing/2014/main" id="{7EC3181C-B0D0-4E4C-8407-4F9729196403}"/>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5" name="Text Box 3">
          <a:extLst>
            <a:ext uri="{FF2B5EF4-FFF2-40B4-BE49-F238E27FC236}">
              <a16:creationId xmlns:a16="http://schemas.microsoft.com/office/drawing/2014/main" id="{38D39BAF-E55B-430C-A946-BD8F6301A8D4}"/>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6" name="Text Box 3">
          <a:extLst>
            <a:ext uri="{FF2B5EF4-FFF2-40B4-BE49-F238E27FC236}">
              <a16:creationId xmlns:a16="http://schemas.microsoft.com/office/drawing/2014/main" id="{51415EA7-E949-42C8-B858-B38F56D5551E}"/>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37" name="Text Box 3">
          <a:extLst>
            <a:ext uri="{FF2B5EF4-FFF2-40B4-BE49-F238E27FC236}">
              <a16:creationId xmlns:a16="http://schemas.microsoft.com/office/drawing/2014/main" id="{69E6FF12-AC65-452C-9AB1-88D4729F3F34}"/>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8" name="Text Box 3">
          <a:extLst>
            <a:ext uri="{FF2B5EF4-FFF2-40B4-BE49-F238E27FC236}">
              <a16:creationId xmlns:a16="http://schemas.microsoft.com/office/drawing/2014/main" id="{AE083A5E-29C2-4874-8914-951AC3F6C9A1}"/>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9" name="Text Box 3">
          <a:extLst>
            <a:ext uri="{FF2B5EF4-FFF2-40B4-BE49-F238E27FC236}">
              <a16:creationId xmlns:a16="http://schemas.microsoft.com/office/drawing/2014/main" id="{06D9AC93-2B3C-4C2D-8730-B92D3206732B}"/>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0" name="Text Box 3">
          <a:extLst>
            <a:ext uri="{FF2B5EF4-FFF2-40B4-BE49-F238E27FC236}">
              <a16:creationId xmlns:a16="http://schemas.microsoft.com/office/drawing/2014/main" id="{478BEE4C-921D-4FA0-99EC-6AD830260C8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1" name="Text Box 3">
          <a:extLst>
            <a:ext uri="{FF2B5EF4-FFF2-40B4-BE49-F238E27FC236}">
              <a16:creationId xmlns:a16="http://schemas.microsoft.com/office/drawing/2014/main" id="{E2773D29-1BC2-4062-8392-B18F543765C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2" name="Text Box 3">
          <a:extLst>
            <a:ext uri="{FF2B5EF4-FFF2-40B4-BE49-F238E27FC236}">
              <a16:creationId xmlns:a16="http://schemas.microsoft.com/office/drawing/2014/main" id="{DB93E550-868C-4417-875E-1DBAB064B189}"/>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43" name="Text Box 3">
          <a:extLst>
            <a:ext uri="{FF2B5EF4-FFF2-40B4-BE49-F238E27FC236}">
              <a16:creationId xmlns:a16="http://schemas.microsoft.com/office/drawing/2014/main" id="{B56F6174-0E21-42E4-8E2A-238AD4D40D7A}"/>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4" name="Text Box 3">
          <a:extLst>
            <a:ext uri="{FF2B5EF4-FFF2-40B4-BE49-F238E27FC236}">
              <a16:creationId xmlns:a16="http://schemas.microsoft.com/office/drawing/2014/main" id="{82B0BD77-5903-47A9-A0ED-0D6312222C37}"/>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5" name="Text Box 3">
          <a:extLst>
            <a:ext uri="{FF2B5EF4-FFF2-40B4-BE49-F238E27FC236}">
              <a16:creationId xmlns:a16="http://schemas.microsoft.com/office/drawing/2014/main" id="{B947A861-C037-4FE4-BAC3-11C2CDDA40E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6" name="Text Box 3">
          <a:extLst>
            <a:ext uri="{FF2B5EF4-FFF2-40B4-BE49-F238E27FC236}">
              <a16:creationId xmlns:a16="http://schemas.microsoft.com/office/drawing/2014/main" id="{F0E111F6-F2A6-45EF-B4FF-D4D1C48D5DFA}"/>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7" name="Text Box 3">
          <a:extLst>
            <a:ext uri="{FF2B5EF4-FFF2-40B4-BE49-F238E27FC236}">
              <a16:creationId xmlns:a16="http://schemas.microsoft.com/office/drawing/2014/main" id="{08B7D1DA-3307-4635-854F-420B46D2D641}"/>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8" name="Text Box 3">
          <a:extLst>
            <a:ext uri="{FF2B5EF4-FFF2-40B4-BE49-F238E27FC236}">
              <a16:creationId xmlns:a16="http://schemas.microsoft.com/office/drawing/2014/main" id="{BB8DCDEE-30EC-4C8F-9C1C-B10D7DF793FE}"/>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49" name="Text Box 3">
          <a:extLst>
            <a:ext uri="{FF2B5EF4-FFF2-40B4-BE49-F238E27FC236}">
              <a16:creationId xmlns:a16="http://schemas.microsoft.com/office/drawing/2014/main" id="{22790924-6F2C-4208-A773-0C21DAB536EF}"/>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0" name="Text Box 3">
          <a:extLst>
            <a:ext uri="{FF2B5EF4-FFF2-40B4-BE49-F238E27FC236}">
              <a16:creationId xmlns:a16="http://schemas.microsoft.com/office/drawing/2014/main" id="{4161FA77-F4F6-4C4E-8C81-387CC6801436}"/>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1" name="Text Box 3">
          <a:extLst>
            <a:ext uri="{FF2B5EF4-FFF2-40B4-BE49-F238E27FC236}">
              <a16:creationId xmlns:a16="http://schemas.microsoft.com/office/drawing/2014/main" id="{B2A5E0BE-181B-4AD2-A156-6AF619EA81B1}"/>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2" name="Text Box 3">
          <a:extLst>
            <a:ext uri="{FF2B5EF4-FFF2-40B4-BE49-F238E27FC236}">
              <a16:creationId xmlns:a16="http://schemas.microsoft.com/office/drawing/2014/main" id="{598A30DF-8645-4C48-A212-DC24DC5E38BA}"/>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3" name="Text Box 3">
          <a:extLst>
            <a:ext uri="{FF2B5EF4-FFF2-40B4-BE49-F238E27FC236}">
              <a16:creationId xmlns:a16="http://schemas.microsoft.com/office/drawing/2014/main" id="{3A4B314E-0CF5-43E1-A17B-0049DEC1CF5B}"/>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4" name="Text Box 3">
          <a:extLst>
            <a:ext uri="{FF2B5EF4-FFF2-40B4-BE49-F238E27FC236}">
              <a16:creationId xmlns:a16="http://schemas.microsoft.com/office/drawing/2014/main" id="{EEC70560-9D8B-4B97-8154-6326D7A0ADAE}"/>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55" name="Text Box 3">
          <a:extLst>
            <a:ext uri="{FF2B5EF4-FFF2-40B4-BE49-F238E27FC236}">
              <a16:creationId xmlns:a16="http://schemas.microsoft.com/office/drawing/2014/main" id="{629C148F-531F-4A57-8ADB-A4DEE4D53AA6}"/>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6" name="Text Box 3">
          <a:extLst>
            <a:ext uri="{FF2B5EF4-FFF2-40B4-BE49-F238E27FC236}">
              <a16:creationId xmlns:a16="http://schemas.microsoft.com/office/drawing/2014/main" id="{855DD975-2074-48B7-BAAF-14788283336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56</xdr:row>
      <xdr:rowOff>0</xdr:rowOff>
    </xdr:from>
    <xdr:ext cx="76200" cy="200025"/>
    <xdr:sp macro="" textlink="">
      <xdr:nvSpPr>
        <xdr:cNvPr id="557" name="Text Box 3">
          <a:extLst>
            <a:ext uri="{FF2B5EF4-FFF2-40B4-BE49-F238E27FC236}">
              <a16:creationId xmlns:a16="http://schemas.microsoft.com/office/drawing/2014/main" id="{35F313FA-E46B-40F4-95E7-D2790E53802F}"/>
            </a:ext>
          </a:extLst>
        </xdr:cNvPr>
        <xdr:cNvSpPr txBox="1">
          <a:spLocks noChangeArrowheads="1"/>
        </xdr:cNvSpPr>
      </xdr:nvSpPr>
      <xdr:spPr bwMode="auto">
        <a:xfrm>
          <a:off x="4354830" y="175976280"/>
          <a:ext cx="76200" cy="200025"/>
        </a:xfrm>
        <a:prstGeom prst="rect">
          <a:avLst/>
        </a:prstGeom>
        <a:noFill/>
        <a:ln w="9525">
          <a:noFill/>
          <a:miter lim="800000"/>
          <a:headEnd/>
          <a:tailEnd/>
        </a:ln>
      </xdr:spPr>
    </xdr:sp>
    <xdr:clientData/>
  </xdr:oneCellAnchor>
  <xdr:oneCellAnchor>
    <xdr:from>
      <xdr:col>0</xdr:col>
      <xdr:colOff>0</xdr:colOff>
      <xdr:row>56</xdr:row>
      <xdr:rowOff>0</xdr:rowOff>
    </xdr:from>
    <xdr:ext cx="28575" cy="104775"/>
    <xdr:sp macro="" textlink="">
      <xdr:nvSpPr>
        <xdr:cNvPr id="558" name="Text Box 4">
          <a:extLst>
            <a:ext uri="{FF2B5EF4-FFF2-40B4-BE49-F238E27FC236}">
              <a16:creationId xmlns:a16="http://schemas.microsoft.com/office/drawing/2014/main" id="{AA19A499-C429-44CB-874B-CA3ACC053738}"/>
            </a:ext>
          </a:extLst>
        </xdr:cNvPr>
        <xdr:cNvSpPr txBox="1">
          <a:spLocks noChangeArrowheads="1"/>
        </xdr:cNvSpPr>
      </xdr:nvSpPr>
      <xdr:spPr bwMode="auto">
        <a:xfrm>
          <a:off x="0" y="175976280"/>
          <a:ext cx="28575" cy="104775"/>
        </a:xfrm>
        <a:prstGeom prst="rect">
          <a:avLst/>
        </a:prstGeom>
        <a:noFill/>
        <a:ln w="9525">
          <a:noFill/>
          <a:miter lim="800000"/>
          <a:headEnd/>
          <a:tailEnd/>
        </a:ln>
      </xdr:spPr>
    </xdr:sp>
    <xdr:clientData/>
  </xdr:oneCellAnchor>
  <xdr:oneCellAnchor>
    <xdr:from>
      <xdr:col>6</xdr:col>
      <xdr:colOff>590550</xdr:colOff>
      <xdr:row>56</xdr:row>
      <xdr:rowOff>0</xdr:rowOff>
    </xdr:from>
    <xdr:ext cx="76200" cy="196850"/>
    <xdr:sp macro="" textlink="">
      <xdr:nvSpPr>
        <xdr:cNvPr id="559" name="Text Box 3">
          <a:extLst>
            <a:ext uri="{FF2B5EF4-FFF2-40B4-BE49-F238E27FC236}">
              <a16:creationId xmlns:a16="http://schemas.microsoft.com/office/drawing/2014/main" id="{13EFE357-23E7-4F44-9BD0-8F82A328A40F}"/>
            </a:ext>
          </a:extLst>
        </xdr:cNvPr>
        <xdr:cNvSpPr txBox="1">
          <a:spLocks noChangeArrowheads="1"/>
        </xdr:cNvSpPr>
      </xdr:nvSpPr>
      <xdr:spPr bwMode="auto">
        <a:xfrm>
          <a:off x="4354830" y="175976280"/>
          <a:ext cx="76200" cy="196850"/>
        </a:xfrm>
        <a:prstGeom prst="rect">
          <a:avLst/>
        </a:prstGeom>
        <a:noFill/>
        <a:ln w="9525">
          <a:noFill/>
          <a:miter lim="800000"/>
          <a:headEnd/>
          <a:tailEnd/>
        </a:ln>
      </xdr:spPr>
    </xdr:sp>
    <xdr:clientData/>
  </xdr:oneCellAnchor>
  <xdr:oneCellAnchor>
    <xdr:from>
      <xdr:col>0</xdr:col>
      <xdr:colOff>0</xdr:colOff>
      <xdr:row>56</xdr:row>
      <xdr:rowOff>0</xdr:rowOff>
    </xdr:from>
    <xdr:ext cx="28575" cy="104775"/>
    <xdr:sp macro="" textlink="">
      <xdr:nvSpPr>
        <xdr:cNvPr id="560" name="Text Box 4">
          <a:extLst>
            <a:ext uri="{FF2B5EF4-FFF2-40B4-BE49-F238E27FC236}">
              <a16:creationId xmlns:a16="http://schemas.microsoft.com/office/drawing/2014/main" id="{7B45D29E-887F-4D6E-BDA9-B331684B2D53}"/>
            </a:ext>
          </a:extLst>
        </xdr:cNvPr>
        <xdr:cNvSpPr txBox="1">
          <a:spLocks noChangeArrowheads="1"/>
        </xdr:cNvSpPr>
      </xdr:nvSpPr>
      <xdr:spPr bwMode="auto">
        <a:xfrm>
          <a:off x="0" y="175976280"/>
          <a:ext cx="28575" cy="10477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1" name="Text Box 3">
          <a:extLst>
            <a:ext uri="{FF2B5EF4-FFF2-40B4-BE49-F238E27FC236}">
              <a16:creationId xmlns:a16="http://schemas.microsoft.com/office/drawing/2014/main" id="{A06C1104-ECC3-4B26-BF7D-CF033108F72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62" name="Text Box 3">
          <a:extLst>
            <a:ext uri="{FF2B5EF4-FFF2-40B4-BE49-F238E27FC236}">
              <a16:creationId xmlns:a16="http://schemas.microsoft.com/office/drawing/2014/main" id="{F1530018-152D-481C-B6FD-4E6B3C82BE99}"/>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3" name="Text Box 3">
          <a:extLst>
            <a:ext uri="{FF2B5EF4-FFF2-40B4-BE49-F238E27FC236}">
              <a16:creationId xmlns:a16="http://schemas.microsoft.com/office/drawing/2014/main" id="{8DD89B70-7002-408B-B592-33533146B8FF}"/>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4" name="Text Box 3">
          <a:extLst>
            <a:ext uri="{FF2B5EF4-FFF2-40B4-BE49-F238E27FC236}">
              <a16:creationId xmlns:a16="http://schemas.microsoft.com/office/drawing/2014/main" id="{685DDB95-C163-416E-8CDE-D32A481ADAF4}"/>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5" name="Text Box 3">
          <a:extLst>
            <a:ext uri="{FF2B5EF4-FFF2-40B4-BE49-F238E27FC236}">
              <a16:creationId xmlns:a16="http://schemas.microsoft.com/office/drawing/2014/main" id="{84A63927-90D3-452E-9564-EF8B0614AA5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6" name="Text Box 3">
          <a:extLst>
            <a:ext uri="{FF2B5EF4-FFF2-40B4-BE49-F238E27FC236}">
              <a16:creationId xmlns:a16="http://schemas.microsoft.com/office/drawing/2014/main" id="{B64D3B22-BA97-4C25-ABBB-F5BCEC3782DC}"/>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7" name="Text Box 3">
          <a:extLst>
            <a:ext uri="{FF2B5EF4-FFF2-40B4-BE49-F238E27FC236}">
              <a16:creationId xmlns:a16="http://schemas.microsoft.com/office/drawing/2014/main" id="{76F8ECDB-887D-4F58-8353-C74EEEB949D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68" name="Text Box 3">
          <a:extLst>
            <a:ext uri="{FF2B5EF4-FFF2-40B4-BE49-F238E27FC236}">
              <a16:creationId xmlns:a16="http://schemas.microsoft.com/office/drawing/2014/main" id="{4B2FC99F-AFB7-4DFF-987E-D9089A9036A7}"/>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9" name="Text Box 3">
          <a:extLst>
            <a:ext uri="{FF2B5EF4-FFF2-40B4-BE49-F238E27FC236}">
              <a16:creationId xmlns:a16="http://schemas.microsoft.com/office/drawing/2014/main" id="{696342F4-4520-4175-AB87-419885622DA9}"/>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0" name="Text Box 3">
          <a:extLst>
            <a:ext uri="{FF2B5EF4-FFF2-40B4-BE49-F238E27FC236}">
              <a16:creationId xmlns:a16="http://schemas.microsoft.com/office/drawing/2014/main" id="{AB199998-48FD-437A-801D-54BDB803ADFC}"/>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1" name="Text Box 3">
          <a:extLst>
            <a:ext uri="{FF2B5EF4-FFF2-40B4-BE49-F238E27FC236}">
              <a16:creationId xmlns:a16="http://schemas.microsoft.com/office/drawing/2014/main" id="{3BFE20E9-EEC8-402B-8A55-8302E2220EEF}"/>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2" name="Text Box 3">
          <a:extLst>
            <a:ext uri="{FF2B5EF4-FFF2-40B4-BE49-F238E27FC236}">
              <a16:creationId xmlns:a16="http://schemas.microsoft.com/office/drawing/2014/main" id="{FEB6E5F0-F9F6-421A-B12C-FDB7BD06F327}"/>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3" name="Text Box 3">
          <a:extLst>
            <a:ext uri="{FF2B5EF4-FFF2-40B4-BE49-F238E27FC236}">
              <a16:creationId xmlns:a16="http://schemas.microsoft.com/office/drawing/2014/main" id="{27E2C3B3-EB1E-4C60-BACE-C2EB28FFFF5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74" name="Text Box 3">
          <a:extLst>
            <a:ext uri="{FF2B5EF4-FFF2-40B4-BE49-F238E27FC236}">
              <a16:creationId xmlns:a16="http://schemas.microsoft.com/office/drawing/2014/main" id="{6261556D-A4DF-48C9-BDEE-7D5E9320A672}"/>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5" name="Text Box 3">
          <a:extLst>
            <a:ext uri="{FF2B5EF4-FFF2-40B4-BE49-F238E27FC236}">
              <a16:creationId xmlns:a16="http://schemas.microsoft.com/office/drawing/2014/main" id="{1161EB6A-486E-4FF5-95E0-CE65D48282F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6" name="Text Box 3">
          <a:extLst>
            <a:ext uri="{FF2B5EF4-FFF2-40B4-BE49-F238E27FC236}">
              <a16:creationId xmlns:a16="http://schemas.microsoft.com/office/drawing/2014/main" id="{F91D2F1C-4042-4E01-8593-3FC61CAEDC58}"/>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7" name="Text Box 3">
          <a:extLst>
            <a:ext uri="{FF2B5EF4-FFF2-40B4-BE49-F238E27FC236}">
              <a16:creationId xmlns:a16="http://schemas.microsoft.com/office/drawing/2014/main" id="{76635CA9-128D-4AE4-B869-437D1AC5C72E}"/>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8" name="Text Box 3">
          <a:extLst>
            <a:ext uri="{FF2B5EF4-FFF2-40B4-BE49-F238E27FC236}">
              <a16:creationId xmlns:a16="http://schemas.microsoft.com/office/drawing/2014/main" id="{E6D57003-E5A5-4CDA-BBB2-43AA825CC20E}"/>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9" name="Text Box 3">
          <a:extLst>
            <a:ext uri="{FF2B5EF4-FFF2-40B4-BE49-F238E27FC236}">
              <a16:creationId xmlns:a16="http://schemas.microsoft.com/office/drawing/2014/main" id="{F74B8D22-F483-4680-8054-EB3A0D0D57DB}"/>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80" name="Text Box 3">
          <a:extLst>
            <a:ext uri="{FF2B5EF4-FFF2-40B4-BE49-F238E27FC236}">
              <a16:creationId xmlns:a16="http://schemas.microsoft.com/office/drawing/2014/main" id="{E4BAF550-BAE2-4E17-8AC1-8C4144DFF3AE}"/>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1" name="Text Box 3">
          <a:extLst>
            <a:ext uri="{FF2B5EF4-FFF2-40B4-BE49-F238E27FC236}">
              <a16:creationId xmlns:a16="http://schemas.microsoft.com/office/drawing/2014/main" id="{C6C003F8-D94B-408C-9D51-6B8AD65A58D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2" name="Text Box 3">
          <a:extLst>
            <a:ext uri="{FF2B5EF4-FFF2-40B4-BE49-F238E27FC236}">
              <a16:creationId xmlns:a16="http://schemas.microsoft.com/office/drawing/2014/main" id="{157A19A2-EC11-44C8-B29A-C254611D3105}"/>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3" name="Text Box 3">
          <a:extLst>
            <a:ext uri="{FF2B5EF4-FFF2-40B4-BE49-F238E27FC236}">
              <a16:creationId xmlns:a16="http://schemas.microsoft.com/office/drawing/2014/main" id="{BC4B32A2-C2F4-4741-8541-1F0A829A37D2}"/>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4" name="Text Box 3">
          <a:extLst>
            <a:ext uri="{FF2B5EF4-FFF2-40B4-BE49-F238E27FC236}">
              <a16:creationId xmlns:a16="http://schemas.microsoft.com/office/drawing/2014/main" id="{F78E5A8D-E59A-4F40-BB7F-846F8426A4A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5" name="Text Box 3">
          <a:extLst>
            <a:ext uri="{FF2B5EF4-FFF2-40B4-BE49-F238E27FC236}">
              <a16:creationId xmlns:a16="http://schemas.microsoft.com/office/drawing/2014/main" id="{B172CB99-4118-44E3-B39F-6FA2E766F11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86" name="Text Box 3">
          <a:extLst>
            <a:ext uri="{FF2B5EF4-FFF2-40B4-BE49-F238E27FC236}">
              <a16:creationId xmlns:a16="http://schemas.microsoft.com/office/drawing/2014/main" id="{EB18149A-E0EF-4B78-AD03-378C631BAD65}"/>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7" name="Text Box 3">
          <a:extLst>
            <a:ext uri="{FF2B5EF4-FFF2-40B4-BE49-F238E27FC236}">
              <a16:creationId xmlns:a16="http://schemas.microsoft.com/office/drawing/2014/main" id="{D74E7CD3-171A-495F-AEE5-9E08226A4527}"/>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8" name="Text Box 3">
          <a:extLst>
            <a:ext uri="{FF2B5EF4-FFF2-40B4-BE49-F238E27FC236}">
              <a16:creationId xmlns:a16="http://schemas.microsoft.com/office/drawing/2014/main" id="{6A9F0146-7A53-4E1A-8B48-2972BCC838FE}"/>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9" name="Text Box 3">
          <a:extLst>
            <a:ext uri="{FF2B5EF4-FFF2-40B4-BE49-F238E27FC236}">
              <a16:creationId xmlns:a16="http://schemas.microsoft.com/office/drawing/2014/main" id="{6AD2FDC3-1EF7-41FC-B7CB-A53C4936CB15}"/>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0" name="Text Box 3">
          <a:extLst>
            <a:ext uri="{FF2B5EF4-FFF2-40B4-BE49-F238E27FC236}">
              <a16:creationId xmlns:a16="http://schemas.microsoft.com/office/drawing/2014/main" id="{8A70F25E-97D4-40C1-8C11-E0A8B977D6F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1" name="Text Box 3">
          <a:extLst>
            <a:ext uri="{FF2B5EF4-FFF2-40B4-BE49-F238E27FC236}">
              <a16:creationId xmlns:a16="http://schemas.microsoft.com/office/drawing/2014/main" id="{74A5DFA8-3AF3-40D0-8055-0D3477F1514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92" name="Text Box 3">
          <a:extLst>
            <a:ext uri="{FF2B5EF4-FFF2-40B4-BE49-F238E27FC236}">
              <a16:creationId xmlns:a16="http://schemas.microsoft.com/office/drawing/2014/main" id="{5862F33E-DE05-4402-A308-AE23A55F8515}"/>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3" name="Text Box 3">
          <a:extLst>
            <a:ext uri="{FF2B5EF4-FFF2-40B4-BE49-F238E27FC236}">
              <a16:creationId xmlns:a16="http://schemas.microsoft.com/office/drawing/2014/main" id="{CD0EAF2D-017B-4634-8241-E2EC2400EBC1}"/>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4" name="Text Box 3">
          <a:extLst>
            <a:ext uri="{FF2B5EF4-FFF2-40B4-BE49-F238E27FC236}">
              <a16:creationId xmlns:a16="http://schemas.microsoft.com/office/drawing/2014/main" id="{5B5A39F1-3086-4E1C-A05E-684175ADA6B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5" name="Text Box 3">
          <a:extLst>
            <a:ext uri="{FF2B5EF4-FFF2-40B4-BE49-F238E27FC236}">
              <a16:creationId xmlns:a16="http://schemas.microsoft.com/office/drawing/2014/main" id="{E448DF56-A359-4B59-90A8-C0518705E02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6" name="Text Box 3">
          <a:extLst>
            <a:ext uri="{FF2B5EF4-FFF2-40B4-BE49-F238E27FC236}">
              <a16:creationId xmlns:a16="http://schemas.microsoft.com/office/drawing/2014/main" id="{4E119337-2DCE-40AD-8AEE-318DFB779B95}"/>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7" name="Text Box 3">
          <a:extLst>
            <a:ext uri="{FF2B5EF4-FFF2-40B4-BE49-F238E27FC236}">
              <a16:creationId xmlns:a16="http://schemas.microsoft.com/office/drawing/2014/main" id="{D14C4736-ABD4-4D0F-B755-F0640ED71A63}"/>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98" name="Text Box 3">
          <a:extLst>
            <a:ext uri="{FF2B5EF4-FFF2-40B4-BE49-F238E27FC236}">
              <a16:creationId xmlns:a16="http://schemas.microsoft.com/office/drawing/2014/main" id="{6F4A1486-37F1-456D-A022-3C0ACC54A999}"/>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9" name="Text Box 3">
          <a:extLst>
            <a:ext uri="{FF2B5EF4-FFF2-40B4-BE49-F238E27FC236}">
              <a16:creationId xmlns:a16="http://schemas.microsoft.com/office/drawing/2014/main" id="{624DFCCC-834A-4D6C-9D8B-635D1518D35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56</xdr:row>
      <xdr:rowOff>0</xdr:rowOff>
    </xdr:from>
    <xdr:ext cx="76200" cy="200025"/>
    <xdr:sp macro="" textlink="">
      <xdr:nvSpPr>
        <xdr:cNvPr id="600" name="Text Box 3">
          <a:extLst>
            <a:ext uri="{FF2B5EF4-FFF2-40B4-BE49-F238E27FC236}">
              <a16:creationId xmlns:a16="http://schemas.microsoft.com/office/drawing/2014/main" id="{EFCBCCFB-97C7-401A-86BA-74868F445FD1}"/>
            </a:ext>
          </a:extLst>
        </xdr:cNvPr>
        <xdr:cNvSpPr txBox="1">
          <a:spLocks noChangeArrowheads="1"/>
        </xdr:cNvSpPr>
      </xdr:nvSpPr>
      <xdr:spPr bwMode="auto">
        <a:xfrm>
          <a:off x="4354830" y="175976280"/>
          <a:ext cx="76200" cy="200025"/>
        </a:xfrm>
        <a:prstGeom prst="rect">
          <a:avLst/>
        </a:prstGeom>
        <a:noFill/>
        <a:ln w="9525">
          <a:noFill/>
          <a:miter lim="800000"/>
          <a:headEnd/>
          <a:tailEnd/>
        </a:ln>
      </xdr:spPr>
    </xdr:sp>
    <xdr:clientData/>
  </xdr:oneCellAnchor>
  <xdr:oneCellAnchor>
    <xdr:from>
      <xdr:col>0</xdr:col>
      <xdr:colOff>0</xdr:colOff>
      <xdr:row>56</xdr:row>
      <xdr:rowOff>0</xdr:rowOff>
    </xdr:from>
    <xdr:ext cx="28575" cy="104775"/>
    <xdr:sp macro="" textlink="">
      <xdr:nvSpPr>
        <xdr:cNvPr id="601" name="Text Box 4">
          <a:extLst>
            <a:ext uri="{FF2B5EF4-FFF2-40B4-BE49-F238E27FC236}">
              <a16:creationId xmlns:a16="http://schemas.microsoft.com/office/drawing/2014/main" id="{66F4978E-72AD-41F3-BE71-17E6D5C64666}"/>
            </a:ext>
          </a:extLst>
        </xdr:cNvPr>
        <xdr:cNvSpPr txBox="1">
          <a:spLocks noChangeArrowheads="1"/>
        </xdr:cNvSpPr>
      </xdr:nvSpPr>
      <xdr:spPr bwMode="auto">
        <a:xfrm>
          <a:off x="0" y="175976280"/>
          <a:ext cx="28575" cy="10477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602" name="Text Box 3">
          <a:extLst>
            <a:ext uri="{FF2B5EF4-FFF2-40B4-BE49-F238E27FC236}">
              <a16:creationId xmlns:a16="http://schemas.microsoft.com/office/drawing/2014/main" id="{D89263E1-4AB1-4EF3-8FC2-1426D8816020}"/>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0</xdr:col>
      <xdr:colOff>0</xdr:colOff>
      <xdr:row>55</xdr:row>
      <xdr:rowOff>0</xdr:rowOff>
    </xdr:from>
    <xdr:ext cx="28575" cy="104775"/>
    <xdr:sp macro="" textlink="">
      <xdr:nvSpPr>
        <xdr:cNvPr id="603" name="Text Box 4">
          <a:extLst>
            <a:ext uri="{FF2B5EF4-FFF2-40B4-BE49-F238E27FC236}">
              <a16:creationId xmlns:a16="http://schemas.microsoft.com/office/drawing/2014/main" id="{36E0576B-DFCF-4CCA-9795-FC2E4A586225}"/>
            </a:ext>
          </a:extLst>
        </xdr:cNvPr>
        <xdr:cNvSpPr txBox="1">
          <a:spLocks noChangeArrowheads="1"/>
        </xdr:cNvSpPr>
      </xdr:nvSpPr>
      <xdr:spPr bwMode="auto">
        <a:xfrm>
          <a:off x="0" y="175808640"/>
          <a:ext cx="28575" cy="10477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4" name="Text Box 3">
          <a:extLst>
            <a:ext uri="{FF2B5EF4-FFF2-40B4-BE49-F238E27FC236}">
              <a16:creationId xmlns:a16="http://schemas.microsoft.com/office/drawing/2014/main" id="{E10B392A-71E7-42EA-9ED7-D55C2D0BBFF2}"/>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05" name="Text Box 3">
          <a:extLst>
            <a:ext uri="{FF2B5EF4-FFF2-40B4-BE49-F238E27FC236}">
              <a16:creationId xmlns:a16="http://schemas.microsoft.com/office/drawing/2014/main" id="{6AA7CF1D-3E76-401F-8FDF-CE3ADF13487A}"/>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6" name="Text Box 3">
          <a:extLst>
            <a:ext uri="{FF2B5EF4-FFF2-40B4-BE49-F238E27FC236}">
              <a16:creationId xmlns:a16="http://schemas.microsoft.com/office/drawing/2014/main" id="{823F74A8-1EE0-45BA-913E-88FDFE43326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7" name="Text Box 3">
          <a:extLst>
            <a:ext uri="{FF2B5EF4-FFF2-40B4-BE49-F238E27FC236}">
              <a16:creationId xmlns:a16="http://schemas.microsoft.com/office/drawing/2014/main" id="{2A8DB578-B69B-4066-AC27-BC6BC582DD67}"/>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8" name="Text Box 3">
          <a:extLst>
            <a:ext uri="{FF2B5EF4-FFF2-40B4-BE49-F238E27FC236}">
              <a16:creationId xmlns:a16="http://schemas.microsoft.com/office/drawing/2014/main" id="{EB3A3A36-3E6B-41D8-BC61-35C2B6331DD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9" name="Text Box 3">
          <a:extLst>
            <a:ext uri="{FF2B5EF4-FFF2-40B4-BE49-F238E27FC236}">
              <a16:creationId xmlns:a16="http://schemas.microsoft.com/office/drawing/2014/main" id="{B504B0CB-8A67-4AEF-A567-03434AD07A5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0" name="Text Box 3">
          <a:extLst>
            <a:ext uri="{FF2B5EF4-FFF2-40B4-BE49-F238E27FC236}">
              <a16:creationId xmlns:a16="http://schemas.microsoft.com/office/drawing/2014/main" id="{B6D4E47B-0279-45D3-9DCE-671A0E53BE6F}"/>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11" name="Text Box 3">
          <a:extLst>
            <a:ext uri="{FF2B5EF4-FFF2-40B4-BE49-F238E27FC236}">
              <a16:creationId xmlns:a16="http://schemas.microsoft.com/office/drawing/2014/main" id="{E8B08AFC-B893-4788-A06E-E8C6CC807E57}"/>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2" name="Text Box 3">
          <a:extLst>
            <a:ext uri="{FF2B5EF4-FFF2-40B4-BE49-F238E27FC236}">
              <a16:creationId xmlns:a16="http://schemas.microsoft.com/office/drawing/2014/main" id="{04BF0F82-38FD-4E8C-B897-ED00A67071D7}"/>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3" name="Text Box 3">
          <a:extLst>
            <a:ext uri="{FF2B5EF4-FFF2-40B4-BE49-F238E27FC236}">
              <a16:creationId xmlns:a16="http://schemas.microsoft.com/office/drawing/2014/main" id="{F1D21381-43C4-4EA9-A24B-77DF36432BCB}"/>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4" name="Text Box 3">
          <a:extLst>
            <a:ext uri="{FF2B5EF4-FFF2-40B4-BE49-F238E27FC236}">
              <a16:creationId xmlns:a16="http://schemas.microsoft.com/office/drawing/2014/main" id="{4781842B-F0AD-43CF-877C-7B5DF1FB33BD}"/>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5" name="Text Box 3">
          <a:extLst>
            <a:ext uri="{FF2B5EF4-FFF2-40B4-BE49-F238E27FC236}">
              <a16:creationId xmlns:a16="http://schemas.microsoft.com/office/drawing/2014/main" id="{F7D71FDB-EB39-4354-9B31-0C2DEBE95EE6}"/>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6" name="Text Box 3">
          <a:extLst>
            <a:ext uri="{FF2B5EF4-FFF2-40B4-BE49-F238E27FC236}">
              <a16:creationId xmlns:a16="http://schemas.microsoft.com/office/drawing/2014/main" id="{83EC7484-8938-4CB5-8570-17AA74C7905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17" name="Text Box 3">
          <a:extLst>
            <a:ext uri="{FF2B5EF4-FFF2-40B4-BE49-F238E27FC236}">
              <a16:creationId xmlns:a16="http://schemas.microsoft.com/office/drawing/2014/main" id="{4C728CC8-1B52-431A-B051-6195D9D00ABF}"/>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8" name="Text Box 3">
          <a:extLst>
            <a:ext uri="{FF2B5EF4-FFF2-40B4-BE49-F238E27FC236}">
              <a16:creationId xmlns:a16="http://schemas.microsoft.com/office/drawing/2014/main" id="{77C2704E-4348-45CA-A49A-BAFF67FB862C}"/>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9" name="Text Box 3">
          <a:extLst>
            <a:ext uri="{FF2B5EF4-FFF2-40B4-BE49-F238E27FC236}">
              <a16:creationId xmlns:a16="http://schemas.microsoft.com/office/drawing/2014/main" id="{9F716A3D-8EE3-4DBF-B9D9-9BFA74EF10BD}"/>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0" name="Text Box 3">
          <a:extLst>
            <a:ext uri="{FF2B5EF4-FFF2-40B4-BE49-F238E27FC236}">
              <a16:creationId xmlns:a16="http://schemas.microsoft.com/office/drawing/2014/main" id="{092B0885-BEC9-4CB0-B099-2BBC302BD045}"/>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1" name="Text Box 3">
          <a:extLst>
            <a:ext uri="{FF2B5EF4-FFF2-40B4-BE49-F238E27FC236}">
              <a16:creationId xmlns:a16="http://schemas.microsoft.com/office/drawing/2014/main" id="{9D1CE890-887C-4D1C-8E11-2E1EF177E9D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2" name="Text Box 3">
          <a:extLst>
            <a:ext uri="{FF2B5EF4-FFF2-40B4-BE49-F238E27FC236}">
              <a16:creationId xmlns:a16="http://schemas.microsoft.com/office/drawing/2014/main" id="{485C2801-191C-4B14-A0F6-D537675F807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23" name="Text Box 3">
          <a:extLst>
            <a:ext uri="{FF2B5EF4-FFF2-40B4-BE49-F238E27FC236}">
              <a16:creationId xmlns:a16="http://schemas.microsoft.com/office/drawing/2014/main" id="{3007258D-C9AB-404A-A571-3784A471E28C}"/>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4" name="Text Box 3">
          <a:extLst>
            <a:ext uri="{FF2B5EF4-FFF2-40B4-BE49-F238E27FC236}">
              <a16:creationId xmlns:a16="http://schemas.microsoft.com/office/drawing/2014/main" id="{07EA44F2-7F0F-4285-8EEC-81540D805D3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5" name="Text Box 3">
          <a:extLst>
            <a:ext uri="{FF2B5EF4-FFF2-40B4-BE49-F238E27FC236}">
              <a16:creationId xmlns:a16="http://schemas.microsoft.com/office/drawing/2014/main" id="{85540626-D735-4738-8E02-C58DD7FA793B}"/>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6" name="Text Box 3">
          <a:extLst>
            <a:ext uri="{FF2B5EF4-FFF2-40B4-BE49-F238E27FC236}">
              <a16:creationId xmlns:a16="http://schemas.microsoft.com/office/drawing/2014/main" id="{0080B217-282B-41CA-80F7-7BCA2DC7C8C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7" name="Text Box 3">
          <a:extLst>
            <a:ext uri="{FF2B5EF4-FFF2-40B4-BE49-F238E27FC236}">
              <a16:creationId xmlns:a16="http://schemas.microsoft.com/office/drawing/2014/main" id="{74E7EB7B-7E30-4243-A943-D323AB580985}"/>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8" name="Text Box 3">
          <a:extLst>
            <a:ext uri="{FF2B5EF4-FFF2-40B4-BE49-F238E27FC236}">
              <a16:creationId xmlns:a16="http://schemas.microsoft.com/office/drawing/2014/main" id="{9A182E0B-818C-424D-93B4-73535865506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29" name="Text Box 3">
          <a:extLst>
            <a:ext uri="{FF2B5EF4-FFF2-40B4-BE49-F238E27FC236}">
              <a16:creationId xmlns:a16="http://schemas.microsoft.com/office/drawing/2014/main" id="{B7AFA872-083B-4C58-9781-8C81B539066B}"/>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0" name="Text Box 3">
          <a:extLst>
            <a:ext uri="{FF2B5EF4-FFF2-40B4-BE49-F238E27FC236}">
              <a16:creationId xmlns:a16="http://schemas.microsoft.com/office/drawing/2014/main" id="{EC4C7222-DD02-4366-85A1-324F32A42B9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1" name="Text Box 3">
          <a:extLst>
            <a:ext uri="{FF2B5EF4-FFF2-40B4-BE49-F238E27FC236}">
              <a16:creationId xmlns:a16="http://schemas.microsoft.com/office/drawing/2014/main" id="{6F833B03-3A2C-4311-B97C-B0719A79D93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2" name="Text Box 3">
          <a:extLst>
            <a:ext uri="{FF2B5EF4-FFF2-40B4-BE49-F238E27FC236}">
              <a16:creationId xmlns:a16="http://schemas.microsoft.com/office/drawing/2014/main" id="{ED385B88-3DC1-4126-9CE9-182218DD3F72}"/>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3" name="Text Box 3">
          <a:extLst>
            <a:ext uri="{FF2B5EF4-FFF2-40B4-BE49-F238E27FC236}">
              <a16:creationId xmlns:a16="http://schemas.microsoft.com/office/drawing/2014/main" id="{53F04D54-F8FC-4DD6-AFC3-D2DC3C61D72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4" name="Text Box 3">
          <a:extLst>
            <a:ext uri="{FF2B5EF4-FFF2-40B4-BE49-F238E27FC236}">
              <a16:creationId xmlns:a16="http://schemas.microsoft.com/office/drawing/2014/main" id="{ABCE1F88-312F-487D-9FB7-C2A9B2C5821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35" name="Text Box 3">
          <a:extLst>
            <a:ext uri="{FF2B5EF4-FFF2-40B4-BE49-F238E27FC236}">
              <a16:creationId xmlns:a16="http://schemas.microsoft.com/office/drawing/2014/main" id="{1867952B-AD7F-4FC6-9FBF-E3D5B8222523}"/>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6" name="Text Box 3">
          <a:extLst>
            <a:ext uri="{FF2B5EF4-FFF2-40B4-BE49-F238E27FC236}">
              <a16:creationId xmlns:a16="http://schemas.microsoft.com/office/drawing/2014/main" id="{B7BBDA9B-5F75-4C04-B2FC-435271FF948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7" name="Text Box 3">
          <a:extLst>
            <a:ext uri="{FF2B5EF4-FFF2-40B4-BE49-F238E27FC236}">
              <a16:creationId xmlns:a16="http://schemas.microsoft.com/office/drawing/2014/main" id="{EBDA90D6-8F55-4755-A0AF-D4669A3F04E7}"/>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8" name="Text Box 3">
          <a:extLst>
            <a:ext uri="{FF2B5EF4-FFF2-40B4-BE49-F238E27FC236}">
              <a16:creationId xmlns:a16="http://schemas.microsoft.com/office/drawing/2014/main" id="{D9D6055E-5A15-4B91-90A1-890E670E6D1B}"/>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9" name="Text Box 3">
          <a:extLst>
            <a:ext uri="{FF2B5EF4-FFF2-40B4-BE49-F238E27FC236}">
              <a16:creationId xmlns:a16="http://schemas.microsoft.com/office/drawing/2014/main" id="{91BE9413-3831-40DE-9685-A173D218EF7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40" name="Text Box 3">
          <a:extLst>
            <a:ext uri="{FF2B5EF4-FFF2-40B4-BE49-F238E27FC236}">
              <a16:creationId xmlns:a16="http://schemas.microsoft.com/office/drawing/2014/main" id="{3D209891-6237-43F7-98DE-53D9480F0E41}"/>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41" name="Text Box 3">
          <a:extLst>
            <a:ext uri="{FF2B5EF4-FFF2-40B4-BE49-F238E27FC236}">
              <a16:creationId xmlns:a16="http://schemas.microsoft.com/office/drawing/2014/main" id="{6628786C-A252-486B-9FCA-3C4F0F750024}"/>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42" name="Text Box 3">
          <a:extLst>
            <a:ext uri="{FF2B5EF4-FFF2-40B4-BE49-F238E27FC236}">
              <a16:creationId xmlns:a16="http://schemas.microsoft.com/office/drawing/2014/main" id="{9EA32CBD-186A-4754-AA07-94348A9063D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112</xdr:row>
      <xdr:rowOff>0</xdr:rowOff>
    </xdr:from>
    <xdr:ext cx="76200" cy="200025"/>
    <xdr:sp macro="" textlink="">
      <xdr:nvSpPr>
        <xdr:cNvPr id="643" name="Text Box 3">
          <a:extLst>
            <a:ext uri="{FF2B5EF4-FFF2-40B4-BE49-F238E27FC236}">
              <a16:creationId xmlns:a16="http://schemas.microsoft.com/office/drawing/2014/main" id="{B3254B8C-2323-4F49-B6C5-1E7AAE8619A4}"/>
            </a:ext>
          </a:extLst>
        </xdr:cNvPr>
        <xdr:cNvSpPr txBox="1">
          <a:spLocks noChangeArrowheads="1"/>
        </xdr:cNvSpPr>
      </xdr:nvSpPr>
      <xdr:spPr bwMode="auto">
        <a:xfrm>
          <a:off x="4354830" y="185806080"/>
          <a:ext cx="76200" cy="200025"/>
        </a:xfrm>
        <a:prstGeom prst="rect">
          <a:avLst/>
        </a:prstGeom>
        <a:noFill/>
        <a:ln w="9525">
          <a:noFill/>
          <a:miter lim="800000"/>
          <a:headEnd/>
          <a:tailEnd/>
        </a:ln>
      </xdr:spPr>
    </xdr:sp>
    <xdr:clientData/>
  </xdr:oneCellAnchor>
  <xdr:oneCellAnchor>
    <xdr:from>
      <xdr:col>0</xdr:col>
      <xdr:colOff>0</xdr:colOff>
      <xdr:row>112</xdr:row>
      <xdr:rowOff>0</xdr:rowOff>
    </xdr:from>
    <xdr:ext cx="28575" cy="104775"/>
    <xdr:sp macro="" textlink="">
      <xdr:nvSpPr>
        <xdr:cNvPr id="644" name="Text Box 4">
          <a:extLst>
            <a:ext uri="{FF2B5EF4-FFF2-40B4-BE49-F238E27FC236}">
              <a16:creationId xmlns:a16="http://schemas.microsoft.com/office/drawing/2014/main" id="{B68C9352-B76C-4DDA-A073-A95C42FB04A1}"/>
            </a:ext>
          </a:extLst>
        </xdr:cNvPr>
        <xdr:cNvSpPr txBox="1">
          <a:spLocks noChangeArrowheads="1"/>
        </xdr:cNvSpPr>
      </xdr:nvSpPr>
      <xdr:spPr bwMode="auto">
        <a:xfrm>
          <a:off x="0" y="185806080"/>
          <a:ext cx="28575" cy="104775"/>
        </a:xfrm>
        <a:prstGeom prst="rect">
          <a:avLst/>
        </a:prstGeom>
        <a:noFill/>
        <a:ln w="9525">
          <a:noFill/>
          <a:miter lim="800000"/>
          <a:headEnd/>
          <a:tailEnd/>
        </a:ln>
      </xdr:spPr>
    </xdr:sp>
    <xdr:clientData/>
  </xdr:oneCellAnchor>
  <xdr:oneCellAnchor>
    <xdr:from>
      <xdr:col>6</xdr:col>
      <xdr:colOff>590550</xdr:colOff>
      <xdr:row>112</xdr:row>
      <xdr:rowOff>0</xdr:rowOff>
    </xdr:from>
    <xdr:ext cx="76200" cy="196850"/>
    <xdr:sp macro="" textlink="">
      <xdr:nvSpPr>
        <xdr:cNvPr id="645" name="Text Box 3">
          <a:extLst>
            <a:ext uri="{FF2B5EF4-FFF2-40B4-BE49-F238E27FC236}">
              <a16:creationId xmlns:a16="http://schemas.microsoft.com/office/drawing/2014/main" id="{C558E9A9-A284-4151-9CF4-F5658A7926B9}"/>
            </a:ext>
          </a:extLst>
        </xdr:cNvPr>
        <xdr:cNvSpPr txBox="1">
          <a:spLocks noChangeArrowheads="1"/>
        </xdr:cNvSpPr>
      </xdr:nvSpPr>
      <xdr:spPr bwMode="auto">
        <a:xfrm>
          <a:off x="4354830" y="185806080"/>
          <a:ext cx="76200" cy="196850"/>
        </a:xfrm>
        <a:prstGeom prst="rect">
          <a:avLst/>
        </a:prstGeom>
        <a:noFill/>
        <a:ln w="9525">
          <a:noFill/>
          <a:miter lim="800000"/>
          <a:headEnd/>
          <a:tailEnd/>
        </a:ln>
      </xdr:spPr>
    </xdr:sp>
    <xdr:clientData/>
  </xdr:oneCellAnchor>
  <xdr:oneCellAnchor>
    <xdr:from>
      <xdr:col>0</xdr:col>
      <xdr:colOff>0</xdr:colOff>
      <xdr:row>112</xdr:row>
      <xdr:rowOff>0</xdr:rowOff>
    </xdr:from>
    <xdr:ext cx="28575" cy="104775"/>
    <xdr:sp macro="" textlink="">
      <xdr:nvSpPr>
        <xdr:cNvPr id="646" name="Text Box 4">
          <a:extLst>
            <a:ext uri="{FF2B5EF4-FFF2-40B4-BE49-F238E27FC236}">
              <a16:creationId xmlns:a16="http://schemas.microsoft.com/office/drawing/2014/main" id="{5F4B8BF4-AFCB-4DEA-8D9E-C614DCB72458}"/>
            </a:ext>
          </a:extLst>
        </xdr:cNvPr>
        <xdr:cNvSpPr txBox="1">
          <a:spLocks noChangeArrowheads="1"/>
        </xdr:cNvSpPr>
      </xdr:nvSpPr>
      <xdr:spPr bwMode="auto">
        <a:xfrm>
          <a:off x="0" y="185806080"/>
          <a:ext cx="28575" cy="10477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47" name="Text Box 3">
          <a:extLst>
            <a:ext uri="{FF2B5EF4-FFF2-40B4-BE49-F238E27FC236}">
              <a16:creationId xmlns:a16="http://schemas.microsoft.com/office/drawing/2014/main" id="{A9555565-9F8C-482D-9DDE-0D0E63F5297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48" name="Text Box 3">
          <a:extLst>
            <a:ext uri="{FF2B5EF4-FFF2-40B4-BE49-F238E27FC236}">
              <a16:creationId xmlns:a16="http://schemas.microsoft.com/office/drawing/2014/main" id="{D4A1AE68-4FAF-4CD8-BADD-3BCCB581C02E}"/>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49" name="Text Box 3">
          <a:extLst>
            <a:ext uri="{FF2B5EF4-FFF2-40B4-BE49-F238E27FC236}">
              <a16:creationId xmlns:a16="http://schemas.microsoft.com/office/drawing/2014/main" id="{CAAA972F-9B7D-4372-822F-F5F4855E165B}"/>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0" name="Text Box 3">
          <a:extLst>
            <a:ext uri="{FF2B5EF4-FFF2-40B4-BE49-F238E27FC236}">
              <a16:creationId xmlns:a16="http://schemas.microsoft.com/office/drawing/2014/main" id="{3203D29F-FCD4-46B5-8034-BFB0C9E3C3D2}"/>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1" name="Text Box 3">
          <a:extLst>
            <a:ext uri="{FF2B5EF4-FFF2-40B4-BE49-F238E27FC236}">
              <a16:creationId xmlns:a16="http://schemas.microsoft.com/office/drawing/2014/main" id="{1B0C73AB-C956-40A0-9BD3-9F89C530E4B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2" name="Text Box 3">
          <a:extLst>
            <a:ext uri="{FF2B5EF4-FFF2-40B4-BE49-F238E27FC236}">
              <a16:creationId xmlns:a16="http://schemas.microsoft.com/office/drawing/2014/main" id="{877C109B-FD89-4142-95BD-DAAB245B4E10}"/>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3" name="Text Box 3">
          <a:extLst>
            <a:ext uri="{FF2B5EF4-FFF2-40B4-BE49-F238E27FC236}">
              <a16:creationId xmlns:a16="http://schemas.microsoft.com/office/drawing/2014/main" id="{C3DBCF2D-EAF2-420E-ACBD-B9AC1FC7D1EB}"/>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54" name="Text Box 3">
          <a:extLst>
            <a:ext uri="{FF2B5EF4-FFF2-40B4-BE49-F238E27FC236}">
              <a16:creationId xmlns:a16="http://schemas.microsoft.com/office/drawing/2014/main" id="{35AC544D-B8F0-4B48-998F-AF75BEC174E0}"/>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5" name="Text Box 3">
          <a:extLst>
            <a:ext uri="{FF2B5EF4-FFF2-40B4-BE49-F238E27FC236}">
              <a16:creationId xmlns:a16="http://schemas.microsoft.com/office/drawing/2014/main" id="{E2DD5185-7967-420C-B1EB-88F5DD81C24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6" name="Text Box 3">
          <a:extLst>
            <a:ext uri="{FF2B5EF4-FFF2-40B4-BE49-F238E27FC236}">
              <a16:creationId xmlns:a16="http://schemas.microsoft.com/office/drawing/2014/main" id="{B48AED31-9858-4E80-8E5E-B0AA0F39CEE7}"/>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7" name="Text Box 3">
          <a:extLst>
            <a:ext uri="{FF2B5EF4-FFF2-40B4-BE49-F238E27FC236}">
              <a16:creationId xmlns:a16="http://schemas.microsoft.com/office/drawing/2014/main" id="{66284581-9DC6-4827-88E3-8D62D4B16C4A}"/>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8" name="Text Box 3">
          <a:extLst>
            <a:ext uri="{FF2B5EF4-FFF2-40B4-BE49-F238E27FC236}">
              <a16:creationId xmlns:a16="http://schemas.microsoft.com/office/drawing/2014/main" id="{3770B29E-D12C-49F4-9933-2F9775EC1B29}"/>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9" name="Text Box 3">
          <a:extLst>
            <a:ext uri="{FF2B5EF4-FFF2-40B4-BE49-F238E27FC236}">
              <a16:creationId xmlns:a16="http://schemas.microsoft.com/office/drawing/2014/main" id="{A386B55D-8E98-404C-8F06-E38977D0A871}"/>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60" name="Text Box 3">
          <a:extLst>
            <a:ext uri="{FF2B5EF4-FFF2-40B4-BE49-F238E27FC236}">
              <a16:creationId xmlns:a16="http://schemas.microsoft.com/office/drawing/2014/main" id="{38444C3C-C21A-45D5-BED0-08BE3F793D40}"/>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1" name="Text Box 3">
          <a:extLst>
            <a:ext uri="{FF2B5EF4-FFF2-40B4-BE49-F238E27FC236}">
              <a16:creationId xmlns:a16="http://schemas.microsoft.com/office/drawing/2014/main" id="{4C3B42BA-954A-4D55-AF5C-7C65D837921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2" name="Text Box 3">
          <a:extLst>
            <a:ext uri="{FF2B5EF4-FFF2-40B4-BE49-F238E27FC236}">
              <a16:creationId xmlns:a16="http://schemas.microsoft.com/office/drawing/2014/main" id="{CA26AB15-AFD8-4E6B-B134-A2F2E18E14E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3" name="Text Box 3">
          <a:extLst>
            <a:ext uri="{FF2B5EF4-FFF2-40B4-BE49-F238E27FC236}">
              <a16:creationId xmlns:a16="http://schemas.microsoft.com/office/drawing/2014/main" id="{2EC3E44B-58A8-47F6-BFE2-61ABAFB87835}"/>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4" name="Text Box 3">
          <a:extLst>
            <a:ext uri="{FF2B5EF4-FFF2-40B4-BE49-F238E27FC236}">
              <a16:creationId xmlns:a16="http://schemas.microsoft.com/office/drawing/2014/main" id="{DC808999-31C2-48C7-825B-5794CB463861}"/>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5" name="Text Box 3">
          <a:extLst>
            <a:ext uri="{FF2B5EF4-FFF2-40B4-BE49-F238E27FC236}">
              <a16:creationId xmlns:a16="http://schemas.microsoft.com/office/drawing/2014/main" id="{52C1DBA7-A17B-449F-882E-768BB93B6652}"/>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66" name="Text Box 3">
          <a:extLst>
            <a:ext uri="{FF2B5EF4-FFF2-40B4-BE49-F238E27FC236}">
              <a16:creationId xmlns:a16="http://schemas.microsoft.com/office/drawing/2014/main" id="{AE324A32-1743-49D1-8D07-A925CE367661}"/>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7" name="Text Box 3">
          <a:extLst>
            <a:ext uri="{FF2B5EF4-FFF2-40B4-BE49-F238E27FC236}">
              <a16:creationId xmlns:a16="http://schemas.microsoft.com/office/drawing/2014/main" id="{03C74570-B0F4-44D8-B6D4-1D28A84BCB8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8" name="Text Box 3">
          <a:extLst>
            <a:ext uri="{FF2B5EF4-FFF2-40B4-BE49-F238E27FC236}">
              <a16:creationId xmlns:a16="http://schemas.microsoft.com/office/drawing/2014/main" id="{53DAFEB2-FC42-4E95-B818-6981F9DF5EA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9" name="Text Box 3">
          <a:extLst>
            <a:ext uri="{FF2B5EF4-FFF2-40B4-BE49-F238E27FC236}">
              <a16:creationId xmlns:a16="http://schemas.microsoft.com/office/drawing/2014/main" id="{8BC61450-AB77-4D7E-B4C2-578D08C7D503}"/>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0" name="Text Box 3">
          <a:extLst>
            <a:ext uri="{FF2B5EF4-FFF2-40B4-BE49-F238E27FC236}">
              <a16:creationId xmlns:a16="http://schemas.microsoft.com/office/drawing/2014/main" id="{4521D725-6126-4971-A0CA-5A04D56BF134}"/>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1" name="Text Box 3">
          <a:extLst>
            <a:ext uri="{FF2B5EF4-FFF2-40B4-BE49-F238E27FC236}">
              <a16:creationId xmlns:a16="http://schemas.microsoft.com/office/drawing/2014/main" id="{3E670D35-F4C1-4460-B508-AE7E1383BBBD}"/>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72" name="Text Box 3">
          <a:extLst>
            <a:ext uri="{FF2B5EF4-FFF2-40B4-BE49-F238E27FC236}">
              <a16:creationId xmlns:a16="http://schemas.microsoft.com/office/drawing/2014/main" id="{9FD6897F-3FA5-468C-9040-914481D3E950}"/>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3" name="Text Box 3">
          <a:extLst>
            <a:ext uri="{FF2B5EF4-FFF2-40B4-BE49-F238E27FC236}">
              <a16:creationId xmlns:a16="http://schemas.microsoft.com/office/drawing/2014/main" id="{0F4CBE0C-8F36-49E3-840A-687FF38A2D0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4" name="Text Box 3">
          <a:extLst>
            <a:ext uri="{FF2B5EF4-FFF2-40B4-BE49-F238E27FC236}">
              <a16:creationId xmlns:a16="http://schemas.microsoft.com/office/drawing/2014/main" id="{1B9C87E1-3D07-483C-ACFD-49410ED9696A}"/>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5" name="Text Box 3">
          <a:extLst>
            <a:ext uri="{FF2B5EF4-FFF2-40B4-BE49-F238E27FC236}">
              <a16:creationId xmlns:a16="http://schemas.microsoft.com/office/drawing/2014/main" id="{99C2AB4E-F78E-461F-AB7A-A910C74E9E3B}"/>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6" name="Text Box 3">
          <a:extLst>
            <a:ext uri="{FF2B5EF4-FFF2-40B4-BE49-F238E27FC236}">
              <a16:creationId xmlns:a16="http://schemas.microsoft.com/office/drawing/2014/main" id="{B6782514-C91B-4A73-951C-8E0CF079CC97}"/>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7" name="Text Box 3">
          <a:extLst>
            <a:ext uri="{FF2B5EF4-FFF2-40B4-BE49-F238E27FC236}">
              <a16:creationId xmlns:a16="http://schemas.microsoft.com/office/drawing/2014/main" id="{BBF29D9F-E9EC-4D84-8F0F-C25156E18B5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78" name="Text Box 3">
          <a:extLst>
            <a:ext uri="{FF2B5EF4-FFF2-40B4-BE49-F238E27FC236}">
              <a16:creationId xmlns:a16="http://schemas.microsoft.com/office/drawing/2014/main" id="{73D48C02-05F2-4A30-8416-5296625B2B6C}"/>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9" name="Text Box 3">
          <a:extLst>
            <a:ext uri="{FF2B5EF4-FFF2-40B4-BE49-F238E27FC236}">
              <a16:creationId xmlns:a16="http://schemas.microsoft.com/office/drawing/2014/main" id="{07005218-9E2D-4B3C-93F5-4BF6440509E9}"/>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0" name="Text Box 3">
          <a:extLst>
            <a:ext uri="{FF2B5EF4-FFF2-40B4-BE49-F238E27FC236}">
              <a16:creationId xmlns:a16="http://schemas.microsoft.com/office/drawing/2014/main" id="{F101F8E5-A947-47C7-B0C5-4BC700C07FA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1" name="Text Box 3">
          <a:extLst>
            <a:ext uri="{FF2B5EF4-FFF2-40B4-BE49-F238E27FC236}">
              <a16:creationId xmlns:a16="http://schemas.microsoft.com/office/drawing/2014/main" id="{D03EEC4A-E454-421B-BB7F-F966BB0992E1}"/>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2" name="Text Box 3">
          <a:extLst>
            <a:ext uri="{FF2B5EF4-FFF2-40B4-BE49-F238E27FC236}">
              <a16:creationId xmlns:a16="http://schemas.microsoft.com/office/drawing/2014/main" id="{9E553116-8478-4FDA-AFDC-224E992F8C0D}"/>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3" name="Text Box 3">
          <a:extLst>
            <a:ext uri="{FF2B5EF4-FFF2-40B4-BE49-F238E27FC236}">
              <a16:creationId xmlns:a16="http://schemas.microsoft.com/office/drawing/2014/main" id="{1F7F9DFC-9D77-4AE7-B323-6CE57688F665}"/>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84" name="Text Box 3">
          <a:extLst>
            <a:ext uri="{FF2B5EF4-FFF2-40B4-BE49-F238E27FC236}">
              <a16:creationId xmlns:a16="http://schemas.microsoft.com/office/drawing/2014/main" id="{4FBDF750-C8DC-449C-B37A-3F920FC7B452}"/>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5" name="Text Box 3">
          <a:extLst>
            <a:ext uri="{FF2B5EF4-FFF2-40B4-BE49-F238E27FC236}">
              <a16:creationId xmlns:a16="http://schemas.microsoft.com/office/drawing/2014/main" id="{E4243398-7CAA-4926-8296-D8F705C20026}"/>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112</xdr:row>
      <xdr:rowOff>0</xdr:rowOff>
    </xdr:from>
    <xdr:ext cx="76200" cy="200025"/>
    <xdr:sp macro="" textlink="">
      <xdr:nvSpPr>
        <xdr:cNvPr id="686" name="Text Box 3">
          <a:extLst>
            <a:ext uri="{FF2B5EF4-FFF2-40B4-BE49-F238E27FC236}">
              <a16:creationId xmlns:a16="http://schemas.microsoft.com/office/drawing/2014/main" id="{1CAEF17F-11D9-4477-83CE-41B07B9525F2}"/>
            </a:ext>
          </a:extLst>
        </xdr:cNvPr>
        <xdr:cNvSpPr txBox="1">
          <a:spLocks noChangeArrowheads="1"/>
        </xdr:cNvSpPr>
      </xdr:nvSpPr>
      <xdr:spPr bwMode="auto">
        <a:xfrm>
          <a:off x="4354830" y="185806080"/>
          <a:ext cx="76200" cy="200025"/>
        </a:xfrm>
        <a:prstGeom prst="rect">
          <a:avLst/>
        </a:prstGeom>
        <a:noFill/>
        <a:ln w="9525">
          <a:noFill/>
          <a:miter lim="800000"/>
          <a:headEnd/>
          <a:tailEnd/>
        </a:ln>
      </xdr:spPr>
    </xdr:sp>
    <xdr:clientData/>
  </xdr:oneCellAnchor>
  <xdr:oneCellAnchor>
    <xdr:from>
      <xdr:col>0</xdr:col>
      <xdr:colOff>0</xdr:colOff>
      <xdr:row>112</xdr:row>
      <xdr:rowOff>0</xdr:rowOff>
    </xdr:from>
    <xdr:ext cx="28575" cy="104775"/>
    <xdr:sp macro="" textlink="">
      <xdr:nvSpPr>
        <xdr:cNvPr id="687" name="Text Box 4">
          <a:extLst>
            <a:ext uri="{FF2B5EF4-FFF2-40B4-BE49-F238E27FC236}">
              <a16:creationId xmlns:a16="http://schemas.microsoft.com/office/drawing/2014/main" id="{CB206506-5368-4566-BB53-8B4EA5470BB8}"/>
            </a:ext>
          </a:extLst>
        </xdr:cNvPr>
        <xdr:cNvSpPr txBox="1">
          <a:spLocks noChangeArrowheads="1"/>
        </xdr:cNvSpPr>
      </xdr:nvSpPr>
      <xdr:spPr bwMode="auto">
        <a:xfrm>
          <a:off x="0" y="185806080"/>
          <a:ext cx="28575" cy="10477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88" name="Text Box 3">
          <a:extLst>
            <a:ext uri="{FF2B5EF4-FFF2-40B4-BE49-F238E27FC236}">
              <a16:creationId xmlns:a16="http://schemas.microsoft.com/office/drawing/2014/main" id="{3E288007-D2AB-4541-877A-9A2F4F8B150A}"/>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0</xdr:col>
      <xdr:colOff>0</xdr:colOff>
      <xdr:row>111</xdr:row>
      <xdr:rowOff>0</xdr:rowOff>
    </xdr:from>
    <xdr:ext cx="28575" cy="104775"/>
    <xdr:sp macro="" textlink="">
      <xdr:nvSpPr>
        <xdr:cNvPr id="689" name="Text Box 4">
          <a:extLst>
            <a:ext uri="{FF2B5EF4-FFF2-40B4-BE49-F238E27FC236}">
              <a16:creationId xmlns:a16="http://schemas.microsoft.com/office/drawing/2014/main" id="{72D188A9-B5D7-41A4-ABB7-28CAB818A1E5}"/>
            </a:ext>
          </a:extLst>
        </xdr:cNvPr>
        <xdr:cNvSpPr txBox="1">
          <a:spLocks noChangeArrowheads="1"/>
        </xdr:cNvSpPr>
      </xdr:nvSpPr>
      <xdr:spPr bwMode="auto">
        <a:xfrm>
          <a:off x="0" y="185638440"/>
          <a:ext cx="28575" cy="10477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0" name="Text Box 3">
          <a:extLst>
            <a:ext uri="{FF2B5EF4-FFF2-40B4-BE49-F238E27FC236}">
              <a16:creationId xmlns:a16="http://schemas.microsoft.com/office/drawing/2014/main" id="{375F56F7-8868-462C-BCA8-FB51DA93992C}"/>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691" name="Text Box 3">
          <a:extLst>
            <a:ext uri="{FF2B5EF4-FFF2-40B4-BE49-F238E27FC236}">
              <a16:creationId xmlns:a16="http://schemas.microsoft.com/office/drawing/2014/main" id="{EC400C7F-51D6-4441-8A0D-5D109B3CC88F}"/>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2" name="Text Box 3">
          <a:extLst>
            <a:ext uri="{FF2B5EF4-FFF2-40B4-BE49-F238E27FC236}">
              <a16:creationId xmlns:a16="http://schemas.microsoft.com/office/drawing/2014/main" id="{CF8F27BE-6435-429F-A0E7-8E04B0757782}"/>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3" name="Text Box 3">
          <a:extLst>
            <a:ext uri="{FF2B5EF4-FFF2-40B4-BE49-F238E27FC236}">
              <a16:creationId xmlns:a16="http://schemas.microsoft.com/office/drawing/2014/main" id="{2706504E-F4AA-4E96-89BC-1F2B23620781}"/>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4" name="Text Box 3">
          <a:extLst>
            <a:ext uri="{FF2B5EF4-FFF2-40B4-BE49-F238E27FC236}">
              <a16:creationId xmlns:a16="http://schemas.microsoft.com/office/drawing/2014/main" id="{F7ACCC9A-DAFC-460E-83DF-34A5AD3F64D6}"/>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5" name="Text Box 3">
          <a:extLst>
            <a:ext uri="{FF2B5EF4-FFF2-40B4-BE49-F238E27FC236}">
              <a16:creationId xmlns:a16="http://schemas.microsoft.com/office/drawing/2014/main" id="{A1151BD7-3FCF-4555-951F-6E5D575236E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6" name="Text Box 3">
          <a:extLst>
            <a:ext uri="{FF2B5EF4-FFF2-40B4-BE49-F238E27FC236}">
              <a16:creationId xmlns:a16="http://schemas.microsoft.com/office/drawing/2014/main" id="{7D69C291-87A9-4400-9A92-78A2980A5B20}"/>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697" name="Text Box 3">
          <a:extLst>
            <a:ext uri="{FF2B5EF4-FFF2-40B4-BE49-F238E27FC236}">
              <a16:creationId xmlns:a16="http://schemas.microsoft.com/office/drawing/2014/main" id="{647442F7-63E8-4561-B1BA-C985F31328F5}"/>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8" name="Text Box 3">
          <a:extLst>
            <a:ext uri="{FF2B5EF4-FFF2-40B4-BE49-F238E27FC236}">
              <a16:creationId xmlns:a16="http://schemas.microsoft.com/office/drawing/2014/main" id="{28F010D2-CAAB-471E-8DA0-85442110B044}"/>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9" name="Text Box 3">
          <a:extLst>
            <a:ext uri="{FF2B5EF4-FFF2-40B4-BE49-F238E27FC236}">
              <a16:creationId xmlns:a16="http://schemas.microsoft.com/office/drawing/2014/main" id="{DE28F369-5A6B-457C-939B-E94F58E939D9}"/>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0" name="Text Box 3">
          <a:extLst>
            <a:ext uri="{FF2B5EF4-FFF2-40B4-BE49-F238E27FC236}">
              <a16:creationId xmlns:a16="http://schemas.microsoft.com/office/drawing/2014/main" id="{B136DAC9-AE58-4FE4-98F2-CCD0588A84F7}"/>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1" name="Text Box 3">
          <a:extLst>
            <a:ext uri="{FF2B5EF4-FFF2-40B4-BE49-F238E27FC236}">
              <a16:creationId xmlns:a16="http://schemas.microsoft.com/office/drawing/2014/main" id="{954A05A2-CD31-4483-8D94-BD6D6FD47482}"/>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2" name="Text Box 3">
          <a:extLst>
            <a:ext uri="{FF2B5EF4-FFF2-40B4-BE49-F238E27FC236}">
              <a16:creationId xmlns:a16="http://schemas.microsoft.com/office/drawing/2014/main" id="{F9452418-AC55-474A-B73F-BBCFB89CB8BA}"/>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03" name="Text Box 3">
          <a:extLst>
            <a:ext uri="{FF2B5EF4-FFF2-40B4-BE49-F238E27FC236}">
              <a16:creationId xmlns:a16="http://schemas.microsoft.com/office/drawing/2014/main" id="{84AD1308-635B-40E9-9BE7-71973667B289}"/>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4" name="Text Box 3">
          <a:extLst>
            <a:ext uri="{FF2B5EF4-FFF2-40B4-BE49-F238E27FC236}">
              <a16:creationId xmlns:a16="http://schemas.microsoft.com/office/drawing/2014/main" id="{E1C7D4B2-FD6B-47A7-9A05-10253A0A1465}"/>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5" name="Text Box 3">
          <a:extLst>
            <a:ext uri="{FF2B5EF4-FFF2-40B4-BE49-F238E27FC236}">
              <a16:creationId xmlns:a16="http://schemas.microsoft.com/office/drawing/2014/main" id="{3F2B47A5-A0A4-48C2-879A-482CAC383FEB}"/>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6" name="Text Box 3">
          <a:extLst>
            <a:ext uri="{FF2B5EF4-FFF2-40B4-BE49-F238E27FC236}">
              <a16:creationId xmlns:a16="http://schemas.microsoft.com/office/drawing/2014/main" id="{A523BAD7-5360-46C6-93FB-367CDD77F69B}"/>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7" name="Text Box 3">
          <a:extLst>
            <a:ext uri="{FF2B5EF4-FFF2-40B4-BE49-F238E27FC236}">
              <a16:creationId xmlns:a16="http://schemas.microsoft.com/office/drawing/2014/main" id="{A4A0D59A-25EF-4CD6-B8FC-EC160E2DC003}"/>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8" name="Text Box 3">
          <a:extLst>
            <a:ext uri="{FF2B5EF4-FFF2-40B4-BE49-F238E27FC236}">
              <a16:creationId xmlns:a16="http://schemas.microsoft.com/office/drawing/2014/main" id="{354ACDDA-5647-4BC5-9487-08BEC866DC13}"/>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09" name="Text Box 3">
          <a:extLst>
            <a:ext uri="{FF2B5EF4-FFF2-40B4-BE49-F238E27FC236}">
              <a16:creationId xmlns:a16="http://schemas.microsoft.com/office/drawing/2014/main" id="{C5961C01-AED5-4439-B040-71BA4924A189}"/>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0" name="Text Box 3">
          <a:extLst>
            <a:ext uri="{FF2B5EF4-FFF2-40B4-BE49-F238E27FC236}">
              <a16:creationId xmlns:a16="http://schemas.microsoft.com/office/drawing/2014/main" id="{2C3E1C0B-6627-4ABD-B67E-9F832A4968AF}"/>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1" name="Text Box 3">
          <a:extLst>
            <a:ext uri="{FF2B5EF4-FFF2-40B4-BE49-F238E27FC236}">
              <a16:creationId xmlns:a16="http://schemas.microsoft.com/office/drawing/2014/main" id="{9CB794A2-77FC-4DC8-A214-8177D3ADE926}"/>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2" name="Text Box 3">
          <a:extLst>
            <a:ext uri="{FF2B5EF4-FFF2-40B4-BE49-F238E27FC236}">
              <a16:creationId xmlns:a16="http://schemas.microsoft.com/office/drawing/2014/main" id="{5002B3FD-D1A3-479A-BBC0-CD33545C61D0}"/>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3" name="Text Box 3">
          <a:extLst>
            <a:ext uri="{FF2B5EF4-FFF2-40B4-BE49-F238E27FC236}">
              <a16:creationId xmlns:a16="http://schemas.microsoft.com/office/drawing/2014/main" id="{634BD3C1-CCD0-416C-BC68-BB1A7910A084}"/>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4" name="Text Box 3">
          <a:extLst>
            <a:ext uri="{FF2B5EF4-FFF2-40B4-BE49-F238E27FC236}">
              <a16:creationId xmlns:a16="http://schemas.microsoft.com/office/drawing/2014/main" id="{F2A1C59B-A438-440A-9AB8-9153C9D0CDCE}"/>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15" name="Text Box 3">
          <a:extLst>
            <a:ext uri="{FF2B5EF4-FFF2-40B4-BE49-F238E27FC236}">
              <a16:creationId xmlns:a16="http://schemas.microsoft.com/office/drawing/2014/main" id="{47455BFE-2C19-4659-BD62-9E7D65E8175A}"/>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6" name="Text Box 3">
          <a:extLst>
            <a:ext uri="{FF2B5EF4-FFF2-40B4-BE49-F238E27FC236}">
              <a16:creationId xmlns:a16="http://schemas.microsoft.com/office/drawing/2014/main" id="{8B2EEEBC-5B91-4417-97AB-376E4E6A688E}"/>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7" name="Text Box 3">
          <a:extLst>
            <a:ext uri="{FF2B5EF4-FFF2-40B4-BE49-F238E27FC236}">
              <a16:creationId xmlns:a16="http://schemas.microsoft.com/office/drawing/2014/main" id="{CCCE794B-B614-4C9D-85A2-E8337D97FBC5}"/>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8" name="Text Box 3">
          <a:extLst>
            <a:ext uri="{FF2B5EF4-FFF2-40B4-BE49-F238E27FC236}">
              <a16:creationId xmlns:a16="http://schemas.microsoft.com/office/drawing/2014/main" id="{A837794F-A1F5-43F0-B1B4-27D9A21D6750}"/>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9" name="Text Box 3">
          <a:extLst>
            <a:ext uri="{FF2B5EF4-FFF2-40B4-BE49-F238E27FC236}">
              <a16:creationId xmlns:a16="http://schemas.microsoft.com/office/drawing/2014/main" id="{99B73C7F-289E-4F31-BCF2-62BA26774E4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0" name="Text Box 3">
          <a:extLst>
            <a:ext uri="{FF2B5EF4-FFF2-40B4-BE49-F238E27FC236}">
              <a16:creationId xmlns:a16="http://schemas.microsoft.com/office/drawing/2014/main" id="{FF5BF928-053B-4B83-B67E-D58B02B041AE}"/>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21" name="Text Box 3">
          <a:extLst>
            <a:ext uri="{FF2B5EF4-FFF2-40B4-BE49-F238E27FC236}">
              <a16:creationId xmlns:a16="http://schemas.microsoft.com/office/drawing/2014/main" id="{031D9F7C-4090-4C6C-A851-DE82D82E39D2}"/>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2" name="Text Box 3">
          <a:extLst>
            <a:ext uri="{FF2B5EF4-FFF2-40B4-BE49-F238E27FC236}">
              <a16:creationId xmlns:a16="http://schemas.microsoft.com/office/drawing/2014/main" id="{07D7DAC2-E468-4332-9F07-26EB5EC717A2}"/>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3" name="Text Box 3">
          <a:extLst>
            <a:ext uri="{FF2B5EF4-FFF2-40B4-BE49-F238E27FC236}">
              <a16:creationId xmlns:a16="http://schemas.microsoft.com/office/drawing/2014/main" id="{98A608EE-38B8-4BDB-AC96-BA61E6F1164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4" name="Text Box 3">
          <a:extLst>
            <a:ext uri="{FF2B5EF4-FFF2-40B4-BE49-F238E27FC236}">
              <a16:creationId xmlns:a16="http://schemas.microsoft.com/office/drawing/2014/main" id="{85F9CCD9-364C-4CB4-9F63-C2F05D82CEC4}"/>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5" name="Text Box 3">
          <a:extLst>
            <a:ext uri="{FF2B5EF4-FFF2-40B4-BE49-F238E27FC236}">
              <a16:creationId xmlns:a16="http://schemas.microsoft.com/office/drawing/2014/main" id="{D46321DD-BABB-4C5F-849B-BB8CB5C9C618}"/>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6" name="Text Box 3">
          <a:extLst>
            <a:ext uri="{FF2B5EF4-FFF2-40B4-BE49-F238E27FC236}">
              <a16:creationId xmlns:a16="http://schemas.microsoft.com/office/drawing/2014/main" id="{8DFC798D-85E6-4BB6-BB1D-542066B6EEA5}"/>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27" name="Text Box 3">
          <a:extLst>
            <a:ext uri="{FF2B5EF4-FFF2-40B4-BE49-F238E27FC236}">
              <a16:creationId xmlns:a16="http://schemas.microsoft.com/office/drawing/2014/main" id="{11821078-11AD-48D7-A15A-7786D5E211A5}"/>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8" name="Text Box 3">
          <a:extLst>
            <a:ext uri="{FF2B5EF4-FFF2-40B4-BE49-F238E27FC236}">
              <a16:creationId xmlns:a16="http://schemas.microsoft.com/office/drawing/2014/main" id="{19F50BC5-4A72-48A9-9CC7-027A7D06E15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167</xdr:row>
      <xdr:rowOff>0</xdr:rowOff>
    </xdr:from>
    <xdr:ext cx="76200" cy="200025"/>
    <xdr:sp macro="" textlink="">
      <xdr:nvSpPr>
        <xdr:cNvPr id="729" name="Text Box 3">
          <a:extLst>
            <a:ext uri="{FF2B5EF4-FFF2-40B4-BE49-F238E27FC236}">
              <a16:creationId xmlns:a16="http://schemas.microsoft.com/office/drawing/2014/main" id="{1773DA06-90C3-4024-87AC-A70E79D3849F}"/>
            </a:ext>
          </a:extLst>
        </xdr:cNvPr>
        <xdr:cNvSpPr txBox="1">
          <a:spLocks noChangeArrowheads="1"/>
        </xdr:cNvSpPr>
      </xdr:nvSpPr>
      <xdr:spPr bwMode="auto">
        <a:xfrm>
          <a:off x="4354830" y="195635880"/>
          <a:ext cx="76200" cy="200025"/>
        </a:xfrm>
        <a:prstGeom prst="rect">
          <a:avLst/>
        </a:prstGeom>
        <a:noFill/>
        <a:ln w="9525">
          <a:noFill/>
          <a:miter lim="800000"/>
          <a:headEnd/>
          <a:tailEnd/>
        </a:ln>
      </xdr:spPr>
    </xdr:sp>
    <xdr:clientData/>
  </xdr:oneCellAnchor>
  <xdr:oneCellAnchor>
    <xdr:from>
      <xdr:col>0</xdr:col>
      <xdr:colOff>0</xdr:colOff>
      <xdr:row>167</xdr:row>
      <xdr:rowOff>0</xdr:rowOff>
    </xdr:from>
    <xdr:ext cx="28575" cy="104775"/>
    <xdr:sp macro="" textlink="">
      <xdr:nvSpPr>
        <xdr:cNvPr id="730" name="Text Box 4">
          <a:extLst>
            <a:ext uri="{FF2B5EF4-FFF2-40B4-BE49-F238E27FC236}">
              <a16:creationId xmlns:a16="http://schemas.microsoft.com/office/drawing/2014/main" id="{EABC38A4-ECC8-45D4-B9A7-0339D825B9F7}"/>
            </a:ext>
          </a:extLst>
        </xdr:cNvPr>
        <xdr:cNvSpPr txBox="1">
          <a:spLocks noChangeArrowheads="1"/>
        </xdr:cNvSpPr>
      </xdr:nvSpPr>
      <xdr:spPr bwMode="auto">
        <a:xfrm>
          <a:off x="0" y="195635880"/>
          <a:ext cx="28575" cy="104775"/>
        </a:xfrm>
        <a:prstGeom prst="rect">
          <a:avLst/>
        </a:prstGeom>
        <a:noFill/>
        <a:ln w="9525">
          <a:noFill/>
          <a:miter lim="800000"/>
          <a:headEnd/>
          <a:tailEnd/>
        </a:ln>
      </xdr:spPr>
    </xdr:sp>
    <xdr:clientData/>
  </xdr:oneCellAnchor>
  <xdr:oneCellAnchor>
    <xdr:from>
      <xdr:col>6</xdr:col>
      <xdr:colOff>590550</xdr:colOff>
      <xdr:row>167</xdr:row>
      <xdr:rowOff>0</xdr:rowOff>
    </xdr:from>
    <xdr:ext cx="76200" cy="196850"/>
    <xdr:sp macro="" textlink="">
      <xdr:nvSpPr>
        <xdr:cNvPr id="731" name="Text Box 3">
          <a:extLst>
            <a:ext uri="{FF2B5EF4-FFF2-40B4-BE49-F238E27FC236}">
              <a16:creationId xmlns:a16="http://schemas.microsoft.com/office/drawing/2014/main" id="{96BA98B1-C566-4BDC-A004-7BD8B07B7586}"/>
            </a:ext>
          </a:extLst>
        </xdr:cNvPr>
        <xdr:cNvSpPr txBox="1">
          <a:spLocks noChangeArrowheads="1"/>
        </xdr:cNvSpPr>
      </xdr:nvSpPr>
      <xdr:spPr bwMode="auto">
        <a:xfrm>
          <a:off x="4354830" y="195635880"/>
          <a:ext cx="76200" cy="196850"/>
        </a:xfrm>
        <a:prstGeom prst="rect">
          <a:avLst/>
        </a:prstGeom>
        <a:noFill/>
        <a:ln w="9525">
          <a:noFill/>
          <a:miter lim="800000"/>
          <a:headEnd/>
          <a:tailEnd/>
        </a:ln>
      </xdr:spPr>
    </xdr:sp>
    <xdr:clientData/>
  </xdr:oneCellAnchor>
  <xdr:oneCellAnchor>
    <xdr:from>
      <xdr:col>0</xdr:col>
      <xdr:colOff>0</xdr:colOff>
      <xdr:row>167</xdr:row>
      <xdr:rowOff>0</xdr:rowOff>
    </xdr:from>
    <xdr:ext cx="28575" cy="104775"/>
    <xdr:sp macro="" textlink="">
      <xdr:nvSpPr>
        <xdr:cNvPr id="732" name="Text Box 4">
          <a:extLst>
            <a:ext uri="{FF2B5EF4-FFF2-40B4-BE49-F238E27FC236}">
              <a16:creationId xmlns:a16="http://schemas.microsoft.com/office/drawing/2014/main" id="{88075E64-2D20-475A-9ACA-C6172EE7392B}"/>
            </a:ext>
          </a:extLst>
        </xdr:cNvPr>
        <xdr:cNvSpPr txBox="1">
          <a:spLocks noChangeArrowheads="1"/>
        </xdr:cNvSpPr>
      </xdr:nvSpPr>
      <xdr:spPr bwMode="auto">
        <a:xfrm>
          <a:off x="0" y="195635880"/>
          <a:ext cx="28575" cy="10477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3" name="Text Box 3">
          <a:extLst>
            <a:ext uri="{FF2B5EF4-FFF2-40B4-BE49-F238E27FC236}">
              <a16:creationId xmlns:a16="http://schemas.microsoft.com/office/drawing/2014/main" id="{CAB56E20-208E-41EC-8E10-571286639B11}"/>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34" name="Text Box 3">
          <a:extLst>
            <a:ext uri="{FF2B5EF4-FFF2-40B4-BE49-F238E27FC236}">
              <a16:creationId xmlns:a16="http://schemas.microsoft.com/office/drawing/2014/main" id="{61262727-94CA-4EB0-B8BD-8F6C654EBF4D}"/>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5" name="Text Box 3">
          <a:extLst>
            <a:ext uri="{FF2B5EF4-FFF2-40B4-BE49-F238E27FC236}">
              <a16:creationId xmlns:a16="http://schemas.microsoft.com/office/drawing/2014/main" id="{E6E21A3A-7291-4F9F-ACB3-829364324B2D}"/>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6" name="Text Box 3">
          <a:extLst>
            <a:ext uri="{FF2B5EF4-FFF2-40B4-BE49-F238E27FC236}">
              <a16:creationId xmlns:a16="http://schemas.microsoft.com/office/drawing/2014/main" id="{F71A675A-09DB-4A17-A8F8-F0C7F3682CB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7" name="Text Box 3">
          <a:extLst>
            <a:ext uri="{FF2B5EF4-FFF2-40B4-BE49-F238E27FC236}">
              <a16:creationId xmlns:a16="http://schemas.microsoft.com/office/drawing/2014/main" id="{941DF8EF-83BE-43EE-8E18-0BF2006E8604}"/>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8" name="Text Box 3">
          <a:extLst>
            <a:ext uri="{FF2B5EF4-FFF2-40B4-BE49-F238E27FC236}">
              <a16:creationId xmlns:a16="http://schemas.microsoft.com/office/drawing/2014/main" id="{3A298B73-D8B4-4F5E-A830-FC9C0BDADDAB}"/>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9" name="Text Box 3">
          <a:extLst>
            <a:ext uri="{FF2B5EF4-FFF2-40B4-BE49-F238E27FC236}">
              <a16:creationId xmlns:a16="http://schemas.microsoft.com/office/drawing/2014/main" id="{1696F6CB-8E0A-4FA7-82D4-9F1C00E942E4}"/>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40" name="Text Box 3">
          <a:extLst>
            <a:ext uri="{FF2B5EF4-FFF2-40B4-BE49-F238E27FC236}">
              <a16:creationId xmlns:a16="http://schemas.microsoft.com/office/drawing/2014/main" id="{DAE9659F-92FA-4E63-860F-BB94CE80AC12}"/>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1" name="Text Box 3">
          <a:extLst>
            <a:ext uri="{FF2B5EF4-FFF2-40B4-BE49-F238E27FC236}">
              <a16:creationId xmlns:a16="http://schemas.microsoft.com/office/drawing/2014/main" id="{DB08EE5A-674F-42FF-BDE6-E330C4A6B946}"/>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2" name="Text Box 3">
          <a:extLst>
            <a:ext uri="{FF2B5EF4-FFF2-40B4-BE49-F238E27FC236}">
              <a16:creationId xmlns:a16="http://schemas.microsoft.com/office/drawing/2014/main" id="{B4DDB22D-6D2A-4917-A0CC-4E5114BA796E}"/>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3" name="Text Box 3">
          <a:extLst>
            <a:ext uri="{FF2B5EF4-FFF2-40B4-BE49-F238E27FC236}">
              <a16:creationId xmlns:a16="http://schemas.microsoft.com/office/drawing/2014/main" id="{D69E3436-C110-40CA-BAB8-B99F8796CB2A}"/>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4" name="Text Box 3">
          <a:extLst>
            <a:ext uri="{FF2B5EF4-FFF2-40B4-BE49-F238E27FC236}">
              <a16:creationId xmlns:a16="http://schemas.microsoft.com/office/drawing/2014/main" id="{EF154E04-4FDA-47D8-A5AB-37144A491E81}"/>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5" name="Text Box 3">
          <a:extLst>
            <a:ext uri="{FF2B5EF4-FFF2-40B4-BE49-F238E27FC236}">
              <a16:creationId xmlns:a16="http://schemas.microsoft.com/office/drawing/2014/main" id="{44599EB6-FD29-4E4B-94D0-B2D022D6672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46" name="Text Box 3">
          <a:extLst>
            <a:ext uri="{FF2B5EF4-FFF2-40B4-BE49-F238E27FC236}">
              <a16:creationId xmlns:a16="http://schemas.microsoft.com/office/drawing/2014/main" id="{FF2AD481-68FB-4217-9916-3B3810781F54}"/>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7" name="Text Box 3">
          <a:extLst>
            <a:ext uri="{FF2B5EF4-FFF2-40B4-BE49-F238E27FC236}">
              <a16:creationId xmlns:a16="http://schemas.microsoft.com/office/drawing/2014/main" id="{ABD943A9-F150-4ED7-9BE2-DBFB051BA6E8}"/>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8" name="Text Box 3">
          <a:extLst>
            <a:ext uri="{FF2B5EF4-FFF2-40B4-BE49-F238E27FC236}">
              <a16:creationId xmlns:a16="http://schemas.microsoft.com/office/drawing/2014/main" id="{879D70EB-E33D-40EF-A81E-FBB271881547}"/>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9" name="Text Box 3">
          <a:extLst>
            <a:ext uri="{FF2B5EF4-FFF2-40B4-BE49-F238E27FC236}">
              <a16:creationId xmlns:a16="http://schemas.microsoft.com/office/drawing/2014/main" id="{6DE91AAB-A599-49E4-897A-66905963E77A}"/>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0" name="Text Box 3">
          <a:extLst>
            <a:ext uri="{FF2B5EF4-FFF2-40B4-BE49-F238E27FC236}">
              <a16:creationId xmlns:a16="http://schemas.microsoft.com/office/drawing/2014/main" id="{754B9102-65A7-4941-AC28-D4FE8B646457}"/>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1" name="Text Box 3">
          <a:extLst>
            <a:ext uri="{FF2B5EF4-FFF2-40B4-BE49-F238E27FC236}">
              <a16:creationId xmlns:a16="http://schemas.microsoft.com/office/drawing/2014/main" id="{A5236C49-FAB2-401F-BC27-33E437D9D639}"/>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52" name="Text Box 3">
          <a:extLst>
            <a:ext uri="{FF2B5EF4-FFF2-40B4-BE49-F238E27FC236}">
              <a16:creationId xmlns:a16="http://schemas.microsoft.com/office/drawing/2014/main" id="{B2B17A7E-F865-4155-82C8-0081C5A59001}"/>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3" name="Text Box 3">
          <a:extLst>
            <a:ext uri="{FF2B5EF4-FFF2-40B4-BE49-F238E27FC236}">
              <a16:creationId xmlns:a16="http://schemas.microsoft.com/office/drawing/2014/main" id="{C88EF7C1-384B-4B0E-884F-55B28795A585}"/>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4" name="Text Box 3">
          <a:extLst>
            <a:ext uri="{FF2B5EF4-FFF2-40B4-BE49-F238E27FC236}">
              <a16:creationId xmlns:a16="http://schemas.microsoft.com/office/drawing/2014/main" id="{C204C8C9-8863-4A04-AD88-569AA1CB451A}"/>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5" name="Text Box 3">
          <a:extLst>
            <a:ext uri="{FF2B5EF4-FFF2-40B4-BE49-F238E27FC236}">
              <a16:creationId xmlns:a16="http://schemas.microsoft.com/office/drawing/2014/main" id="{AF8A3B0C-B47C-4975-AA7F-BF7074CAE033}"/>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6" name="Text Box 3">
          <a:extLst>
            <a:ext uri="{FF2B5EF4-FFF2-40B4-BE49-F238E27FC236}">
              <a16:creationId xmlns:a16="http://schemas.microsoft.com/office/drawing/2014/main" id="{C7C208CC-AACD-424D-8558-9700CAA42538}"/>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7" name="Text Box 3">
          <a:extLst>
            <a:ext uri="{FF2B5EF4-FFF2-40B4-BE49-F238E27FC236}">
              <a16:creationId xmlns:a16="http://schemas.microsoft.com/office/drawing/2014/main" id="{081594A5-3DD6-408B-B993-1A9CCB21AE8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58" name="Text Box 3">
          <a:extLst>
            <a:ext uri="{FF2B5EF4-FFF2-40B4-BE49-F238E27FC236}">
              <a16:creationId xmlns:a16="http://schemas.microsoft.com/office/drawing/2014/main" id="{781C7E31-389B-49D9-80A1-5CFEA38AB6DD}"/>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9" name="Text Box 3">
          <a:extLst>
            <a:ext uri="{FF2B5EF4-FFF2-40B4-BE49-F238E27FC236}">
              <a16:creationId xmlns:a16="http://schemas.microsoft.com/office/drawing/2014/main" id="{C23BC1B5-8314-496D-97C7-0508E62C2C88}"/>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0" name="Text Box 3">
          <a:extLst>
            <a:ext uri="{FF2B5EF4-FFF2-40B4-BE49-F238E27FC236}">
              <a16:creationId xmlns:a16="http://schemas.microsoft.com/office/drawing/2014/main" id="{9872DCB6-A55C-46E6-94E1-8590F99B2152}"/>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1" name="Text Box 3">
          <a:extLst>
            <a:ext uri="{FF2B5EF4-FFF2-40B4-BE49-F238E27FC236}">
              <a16:creationId xmlns:a16="http://schemas.microsoft.com/office/drawing/2014/main" id="{679C8247-3199-4AB6-B84F-E836BA5698D9}"/>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2" name="Text Box 3">
          <a:extLst>
            <a:ext uri="{FF2B5EF4-FFF2-40B4-BE49-F238E27FC236}">
              <a16:creationId xmlns:a16="http://schemas.microsoft.com/office/drawing/2014/main" id="{4681DC18-6A00-48B4-A42D-B1911596865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3" name="Text Box 3">
          <a:extLst>
            <a:ext uri="{FF2B5EF4-FFF2-40B4-BE49-F238E27FC236}">
              <a16:creationId xmlns:a16="http://schemas.microsoft.com/office/drawing/2014/main" id="{59B4C47B-C52D-4118-BB97-510F1A960F0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64" name="Text Box 3">
          <a:extLst>
            <a:ext uri="{FF2B5EF4-FFF2-40B4-BE49-F238E27FC236}">
              <a16:creationId xmlns:a16="http://schemas.microsoft.com/office/drawing/2014/main" id="{258A148A-A732-4D9E-B157-1FF9BDB0DE82}"/>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5" name="Text Box 3">
          <a:extLst>
            <a:ext uri="{FF2B5EF4-FFF2-40B4-BE49-F238E27FC236}">
              <a16:creationId xmlns:a16="http://schemas.microsoft.com/office/drawing/2014/main" id="{F27EE869-68B9-41D5-B700-1CD679CBBA39}"/>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6" name="Text Box 3">
          <a:extLst>
            <a:ext uri="{FF2B5EF4-FFF2-40B4-BE49-F238E27FC236}">
              <a16:creationId xmlns:a16="http://schemas.microsoft.com/office/drawing/2014/main" id="{F9DB041F-32F0-447D-BEAA-D583220CC996}"/>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7" name="Text Box 3">
          <a:extLst>
            <a:ext uri="{FF2B5EF4-FFF2-40B4-BE49-F238E27FC236}">
              <a16:creationId xmlns:a16="http://schemas.microsoft.com/office/drawing/2014/main" id="{4BF21290-38D6-441C-A363-490C9536A8EB}"/>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8" name="Text Box 3">
          <a:extLst>
            <a:ext uri="{FF2B5EF4-FFF2-40B4-BE49-F238E27FC236}">
              <a16:creationId xmlns:a16="http://schemas.microsoft.com/office/drawing/2014/main" id="{F3F92DDA-F5D8-465A-8130-48A90E65ED53}"/>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9" name="Text Box 3">
          <a:extLst>
            <a:ext uri="{FF2B5EF4-FFF2-40B4-BE49-F238E27FC236}">
              <a16:creationId xmlns:a16="http://schemas.microsoft.com/office/drawing/2014/main" id="{9739AB16-5C4B-47D7-873E-69E90CC3FE13}"/>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70" name="Text Box 3">
          <a:extLst>
            <a:ext uri="{FF2B5EF4-FFF2-40B4-BE49-F238E27FC236}">
              <a16:creationId xmlns:a16="http://schemas.microsoft.com/office/drawing/2014/main" id="{26F948F6-1CB4-423C-9A61-6181243D0C61}"/>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71" name="Text Box 3">
          <a:extLst>
            <a:ext uri="{FF2B5EF4-FFF2-40B4-BE49-F238E27FC236}">
              <a16:creationId xmlns:a16="http://schemas.microsoft.com/office/drawing/2014/main" id="{DFBB5A6D-6086-4604-BE9F-E0B9570D7140}"/>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167</xdr:row>
      <xdr:rowOff>0</xdr:rowOff>
    </xdr:from>
    <xdr:ext cx="76200" cy="200025"/>
    <xdr:sp macro="" textlink="">
      <xdr:nvSpPr>
        <xdr:cNvPr id="772" name="Text Box 3">
          <a:extLst>
            <a:ext uri="{FF2B5EF4-FFF2-40B4-BE49-F238E27FC236}">
              <a16:creationId xmlns:a16="http://schemas.microsoft.com/office/drawing/2014/main" id="{8B4E89A4-A1D4-42BB-8DB9-9C83E8B8BBBA}"/>
            </a:ext>
          </a:extLst>
        </xdr:cNvPr>
        <xdr:cNvSpPr txBox="1">
          <a:spLocks noChangeArrowheads="1"/>
        </xdr:cNvSpPr>
      </xdr:nvSpPr>
      <xdr:spPr bwMode="auto">
        <a:xfrm>
          <a:off x="4354830" y="195635880"/>
          <a:ext cx="76200" cy="200025"/>
        </a:xfrm>
        <a:prstGeom prst="rect">
          <a:avLst/>
        </a:prstGeom>
        <a:noFill/>
        <a:ln w="9525">
          <a:noFill/>
          <a:miter lim="800000"/>
          <a:headEnd/>
          <a:tailEnd/>
        </a:ln>
      </xdr:spPr>
    </xdr:sp>
    <xdr:clientData/>
  </xdr:oneCellAnchor>
  <xdr:oneCellAnchor>
    <xdr:from>
      <xdr:col>0</xdr:col>
      <xdr:colOff>0</xdr:colOff>
      <xdr:row>167</xdr:row>
      <xdr:rowOff>0</xdr:rowOff>
    </xdr:from>
    <xdr:ext cx="28575" cy="104775"/>
    <xdr:sp macro="" textlink="">
      <xdr:nvSpPr>
        <xdr:cNvPr id="773" name="Text Box 4">
          <a:extLst>
            <a:ext uri="{FF2B5EF4-FFF2-40B4-BE49-F238E27FC236}">
              <a16:creationId xmlns:a16="http://schemas.microsoft.com/office/drawing/2014/main" id="{DFD0FFD8-4399-4EA2-A987-AF31ABF624E6}"/>
            </a:ext>
          </a:extLst>
        </xdr:cNvPr>
        <xdr:cNvSpPr txBox="1">
          <a:spLocks noChangeArrowheads="1"/>
        </xdr:cNvSpPr>
      </xdr:nvSpPr>
      <xdr:spPr bwMode="auto">
        <a:xfrm>
          <a:off x="0" y="195635880"/>
          <a:ext cx="28575" cy="10477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74" name="Text Box 3">
          <a:extLst>
            <a:ext uri="{FF2B5EF4-FFF2-40B4-BE49-F238E27FC236}">
              <a16:creationId xmlns:a16="http://schemas.microsoft.com/office/drawing/2014/main" id="{6EA89BC8-44BB-4E36-9092-D1F2EA229499}"/>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0</xdr:col>
      <xdr:colOff>0</xdr:colOff>
      <xdr:row>166</xdr:row>
      <xdr:rowOff>0</xdr:rowOff>
    </xdr:from>
    <xdr:ext cx="28575" cy="104775"/>
    <xdr:sp macro="" textlink="">
      <xdr:nvSpPr>
        <xdr:cNvPr id="775" name="Text Box 4">
          <a:extLst>
            <a:ext uri="{FF2B5EF4-FFF2-40B4-BE49-F238E27FC236}">
              <a16:creationId xmlns:a16="http://schemas.microsoft.com/office/drawing/2014/main" id="{1F5E4BB0-E160-4FDC-9B8A-DE16B0365AD5}"/>
            </a:ext>
          </a:extLst>
        </xdr:cNvPr>
        <xdr:cNvSpPr txBox="1">
          <a:spLocks noChangeArrowheads="1"/>
        </xdr:cNvSpPr>
      </xdr:nvSpPr>
      <xdr:spPr bwMode="auto">
        <a:xfrm>
          <a:off x="0" y="195468240"/>
          <a:ext cx="28575" cy="10477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76" name="Text Box 3">
          <a:extLst>
            <a:ext uri="{FF2B5EF4-FFF2-40B4-BE49-F238E27FC236}">
              <a16:creationId xmlns:a16="http://schemas.microsoft.com/office/drawing/2014/main" id="{0F7C1BE2-03C2-40F3-BA5D-0425CE61197F}"/>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77" name="Text Box 3">
          <a:extLst>
            <a:ext uri="{FF2B5EF4-FFF2-40B4-BE49-F238E27FC236}">
              <a16:creationId xmlns:a16="http://schemas.microsoft.com/office/drawing/2014/main" id="{AA6C2D6D-E503-414C-B31A-7EFC53E0F54B}"/>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78" name="Text Box 3">
          <a:extLst>
            <a:ext uri="{FF2B5EF4-FFF2-40B4-BE49-F238E27FC236}">
              <a16:creationId xmlns:a16="http://schemas.microsoft.com/office/drawing/2014/main" id="{2A8E271E-EC8E-424A-93DF-225929E0A5B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79" name="Text Box 3">
          <a:extLst>
            <a:ext uri="{FF2B5EF4-FFF2-40B4-BE49-F238E27FC236}">
              <a16:creationId xmlns:a16="http://schemas.microsoft.com/office/drawing/2014/main" id="{F8DAD8E4-93B2-40CD-807A-0CB7D1492699}"/>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0" name="Text Box 3">
          <a:extLst>
            <a:ext uri="{FF2B5EF4-FFF2-40B4-BE49-F238E27FC236}">
              <a16:creationId xmlns:a16="http://schemas.microsoft.com/office/drawing/2014/main" id="{EDC30540-67DC-493F-A1A4-C4CC8EC0B83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1" name="Text Box 3">
          <a:extLst>
            <a:ext uri="{FF2B5EF4-FFF2-40B4-BE49-F238E27FC236}">
              <a16:creationId xmlns:a16="http://schemas.microsoft.com/office/drawing/2014/main" id="{FACD334A-DC78-45C0-B5B2-CFBF60104E9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2" name="Text Box 3">
          <a:extLst>
            <a:ext uri="{FF2B5EF4-FFF2-40B4-BE49-F238E27FC236}">
              <a16:creationId xmlns:a16="http://schemas.microsoft.com/office/drawing/2014/main" id="{8F776FB9-7B28-4D19-B45C-C92E4F657747}"/>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83" name="Text Box 3">
          <a:extLst>
            <a:ext uri="{FF2B5EF4-FFF2-40B4-BE49-F238E27FC236}">
              <a16:creationId xmlns:a16="http://schemas.microsoft.com/office/drawing/2014/main" id="{178E96EF-6BE9-49D7-A061-AF8D94525021}"/>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4" name="Text Box 3">
          <a:extLst>
            <a:ext uri="{FF2B5EF4-FFF2-40B4-BE49-F238E27FC236}">
              <a16:creationId xmlns:a16="http://schemas.microsoft.com/office/drawing/2014/main" id="{E353F952-0013-4E47-BE62-2E4B0602D7E7}"/>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5" name="Text Box 3">
          <a:extLst>
            <a:ext uri="{FF2B5EF4-FFF2-40B4-BE49-F238E27FC236}">
              <a16:creationId xmlns:a16="http://schemas.microsoft.com/office/drawing/2014/main" id="{C2708554-F0C6-4B27-B394-E15D4A3CA0E3}"/>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6" name="Text Box 3">
          <a:extLst>
            <a:ext uri="{FF2B5EF4-FFF2-40B4-BE49-F238E27FC236}">
              <a16:creationId xmlns:a16="http://schemas.microsoft.com/office/drawing/2014/main" id="{5F847A2E-6D5D-446E-852E-45885F0EBA9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7" name="Text Box 3">
          <a:extLst>
            <a:ext uri="{FF2B5EF4-FFF2-40B4-BE49-F238E27FC236}">
              <a16:creationId xmlns:a16="http://schemas.microsoft.com/office/drawing/2014/main" id="{4D827845-7E3E-40DD-A895-14DD62374D5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8" name="Text Box 3">
          <a:extLst>
            <a:ext uri="{FF2B5EF4-FFF2-40B4-BE49-F238E27FC236}">
              <a16:creationId xmlns:a16="http://schemas.microsoft.com/office/drawing/2014/main" id="{3D636302-13AD-45FF-8251-C7FAB01C523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89" name="Text Box 3">
          <a:extLst>
            <a:ext uri="{FF2B5EF4-FFF2-40B4-BE49-F238E27FC236}">
              <a16:creationId xmlns:a16="http://schemas.microsoft.com/office/drawing/2014/main" id="{63F68B95-B035-4FB0-96D7-B56EF9416F62}"/>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0" name="Text Box 3">
          <a:extLst>
            <a:ext uri="{FF2B5EF4-FFF2-40B4-BE49-F238E27FC236}">
              <a16:creationId xmlns:a16="http://schemas.microsoft.com/office/drawing/2014/main" id="{07EF3168-954A-4F3D-9D8C-3DDE280399FF}"/>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1" name="Text Box 3">
          <a:extLst>
            <a:ext uri="{FF2B5EF4-FFF2-40B4-BE49-F238E27FC236}">
              <a16:creationId xmlns:a16="http://schemas.microsoft.com/office/drawing/2014/main" id="{4E3DCAB7-3A2E-43A7-8F61-30CC0D9D6F7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2" name="Text Box 3">
          <a:extLst>
            <a:ext uri="{FF2B5EF4-FFF2-40B4-BE49-F238E27FC236}">
              <a16:creationId xmlns:a16="http://schemas.microsoft.com/office/drawing/2014/main" id="{C88EE12C-38AB-46C5-905C-1F9BF0662210}"/>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3" name="Text Box 3">
          <a:extLst>
            <a:ext uri="{FF2B5EF4-FFF2-40B4-BE49-F238E27FC236}">
              <a16:creationId xmlns:a16="http://schemas.microsoft.com/office/drawing/2014/main" id="{3BEE8361-71E9-4F8E-A259-41E3A542970E}"/>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4" name="Text Box 3">
          <a:extLst>
            <a:ext uri="{FF2B5EF4-FFF2-40B4-BE49-F238E27FC236}">
              <a16:creationId xmlns:a16="http://schemas.microsoft.com/office/drawing/2014/main" id="{73ED2B01-95A1-47A5-8352-3D5DFE52A01E}"/>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95" name="Text Box 3">
          <a:extLst>
            <a:ext uri="{FF2B5EF4-FFF2-40B4-BE49-F238E27FC236}">
              <a16:creationId xmlns:a16="http://schemas.microsoft.com/office/drawing/2014/main" id="{2D81E7EC-7FA3-4DC7-9399-6C0E39159E82}"/>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6" name="Text Box 3">
          <a:extLst>
            <a:ext uri="{FF2B5EF4-FFF2-40B4-BE49-F238E27FC236}">
              <a16:creationId xmlns:a16="http://schemas.microsoft.com/office/drawing/2014/main" id="{F3E94652-AEB3-4145-8AAA-9B3D87ACEB50}"/>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7" name="Text Box 3">
          <a:extLst>
            <a:ext uri="{FF2B5EF4-FFF2-40B4-BE49-F238E27FC236}">
              <a16:creationId xmlns:a16="http://schemas.microsoft.com/office/drawing/2014/main" id="{69BF1127-8ED4-476B-8F41-08E152F5341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8" name="Text Box 3">
          <a:extLst>
            <a:ext uri="{FF2B5EF4-FFF2-40B4-BE49-F238E27FC236}">
              <a16:creationId xmlns:a16="http://schemas.microsoft.com/office/drawing/2014/main" id="{CB3F7B94-2000-4A7E-9CC8-6EF5E6731DC7}"/>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9" name="Text Box 3">
          <a:extLst>
            <a:ext uri="{FF2B5EF4-FFF2-40B4-BE49-F238E27FC236}">
              <a16:creationId xmlns:a16="http://schemas.microsoft.com/office/drawing/2014/main" id="{2FA0A248-04F9-4F90-A546-F57212EB086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0" name="Text Box 3">
          <a:extLst>
            <a:ext uri="{FF2B5EF4-FFF2-40B4-BE49-F238E27FC236}">
              <a16:creationId xmlns:a16="http://schemas.microsoft.com/office/drawing/2014/main" id="{D1AF825E-DAE5-4090-AB82-39A9C812E5DC}"/>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01" name="Text Box 3">
          <a:extLst>
            <a:ext uri="{FF2B5EF4-FFF2-40B4-BE49-F238E27FC236}">
              <a16:creationId xmlns:a16="http://schemas.microsoft.com/office/drawing/2014/main" id="{C3F7BFDA-7225-4C9F-B675-86F7FC330B2A}"/>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2" name="Text Box 3">
          <a:extLst>
            <a:ext uri="{FF2B5EF4-FFF2-40B4-BE49-F238E27FC236}">
              <a16:creationId xmlns:a16="http://schemas.microsoft.com/office/drawing/2014/main" id="{A7A46761-5736-4643-AAB4-5546B7EF15CD}"/>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3" name="Text Box 3">
          <a:extLst>
            <a:ext uri="{FF2B5EF4-FFF2-40B4-BE49-F238E27FC236}">
              <a16:creationId xmlns:a16="http://schemas.microsoft.com/office/drawing/2014/main" id="{9F4D4C34-902F-4A09-AAC0-668064309CD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4" name="Text Box 3">
          <a:extLst>
            <a:ext uri="{FF2B5EF4-FFF2-40B4-BE49-F238E27FC236}">
              <a16:creationId xmlns:a16="http://schemas.microsoft.com/office/drawing/2014/main" id="{5F4B9E93-DC77-48E8-8CF2-EACB75C9943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5" name="Text Box 3">
          <a:extLst>
            <a:ext uri="{FF2B5EF4-FFF2-40B4-BE49-F238E27FC236}">
              <a16:creationId xmlns:a16="http://schemas.microsoft.com/office/drawing/2014/main" id="{E2F8795D-05E5-4C6F-BC98-D28C6FCE4FB0}"/>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6" name="Text Box 3">
          <a:extLst>
            <a:ext uri="{FF2B5EF4-FFF2-40B4-BE49-F238E27FC236}">
              <a16:creationId xmlns:a16="http://schemas.microsoft.com/office/drawing/2014/main" id="{0F9B85CB-D3C5-4725-9AAA-DA8EB6D3521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07" name="Text Box 3">
          <a:extLst>
            <a:ext uri="{FF2B5EF4-FFF2-40B4-BE49-F238E27FC236}">
              <a16:creationId xmlns:a16="http://schemas.microsoft.com/office/drawing/2014/main" id="{ACF59FEE-07B0-4C06-A8FC-3EDC6C894B2F}"/>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8" name="Text Box 3">
          <a:extLst>
            <a:ext uri="{FF2B5EF4-FFF2-40B4-BE49-F238E27FC236}">
              <a16:creationId xmlns:a16="http://schemas.microsoft.com/office/drawing/2014/main" id="{4647C815-28E0-4FEC-8CBC-67713E9A9FAE}"/>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9" name="Text Box 3">
          <a:extLst>
            <a:ext uri="{FF2B5EF4-FFF2-40B4-BE49-F238E27FC236}">
              <a16:creationId xmlns:a16="http://schemas.microsoft.com/office/drawing/2014/main" id="{C3F3ECF2-238B-4A80-8491-6AB40494E9A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0" name="Text Box 3">
          <a:extLst>
            <a:ext uri="{FF2B5EF4-FFF2-40B4-BE49-F238E27FC236}">
              <a16:creationId xmlns:a16="http://schemas.microsoft.com/office/drawing/2014/main" id="{A72AAE5D-922F-4B65-8DBB-6F9A172BA46D}"/>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1" name="Text Box 3">
          <a:extLst>
            <a:ext uri="{FF2B5EF4-FFF2-40B4-BE49-F238E27FC236}">
              <a16:creationId xmlns:a16="http://schemas.microsoft.com/office/drawing/2014/main" id="{650398F2-6B76-44B2-95B4-0D5C7FCAC274}"/>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2" name="Text Box 3">
          <a:extLst>
            <a:ext uri="{FF2B5EF4-FFF2-40B4-BE49-F238E27FC236}">
              <a16:creationId xmlns:a16="http://schemas.microsoft.com/office/drawing/2014/main" id="{3D6659ED-5CC2-46B7-8AE1-1106850A1BF3}"/>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13" name="Text Box 3">
          <a:extLst>
            <a:ext uri="{FF2B5EF4-FFF2-40B4-BE49-F238E27FC236}">
              <a16:creationId xmlns:a16="http://schemas.microsoft.com/office/drawing/2014/main" id="{B332208F-8CB8-4A0F-A1C0-ED14E29070FA}"/>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4" name="Text Box 3">
          <a:extLst>
            <a:ext uri="{FF2B5EF4-FFF2-40B4-BE49-F238E27FC236}">
              <a16:creationId xmlns:a16="http://schemas.microsoft.com/office/drawing/2014/main" id="{6EEBD7BC-0F94-452F-A1C0-79F0E4CF5A33}"/>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222</xdr:row>
      <xdr:rowOff>0</xdr:rowOff>
    </xdr:from>
    <xdr:ext cx="76200" cy="200025"/>
    <xdr:sp macro="" textlink="">
      <xdr:nvSpPr>
        <xdr:cNvPr id="815" name="Text Box 3">
          <a:extLst>
            <a:ext uri="{FF2B5EF4-FFF2-40B4-BE49-F238E27FC236}">
              <a16:creationId xmlns:a16="http://schemas.microsoft.com/office/drawing/2014/main" id="{345C8F41-0736-42C1-BB34-55B2CF00724B}"/>
            </a:ext>
          </a:extLst>
        </xdr:cNvPr>
        <xdr:cNvSpPr txBox="1">
          <a:spLocks noChangeArrowheads="1"/>
        </xdr:cNvSpPr>
      </xdr:nvSpPr>
      <xdr:spPr bwMode="auto">
        <a:xfrm>
          <a:off x="4354830" y="205465680"/>
          <a:ext cx="76200" cy="200025"/>
        </a:xfrm>
        <a:prstGeom prst="rect">
          <a:avLst/>
        </a:prstGeom>
        <a:noFill/>
        <a:ln w="9525">
          <a:noFill/>
          <a:miter lim="800000"/>
          <a:headEnd/>
          <a:tailEnd/>
        </a:ln>
      </xdr:spPr>
    </xdr:sp>
    <xdr:clientData/>
  </xdr:oneCellAnchor>
  <xdr:oneCellAnchor>
    <xdr:from>
      <xdr:col>0</xdr:col>
      <xdr:colOff>0</xdr:colOff>
      <xdr:row>222</xdr:row>
      <xdr:rowOff>0</xdr:rowOff>
    </xdr:from>
    <xdr:ext cx="28575" cy="104775"/>
    <xdr:sp macro="" textlink="">
      <xdr:nvSpPr>
        <xdr:cNvPr id="816" name="Text Box 4">
          <a:extLst>
            <a:ext uri="{FF2B5EF4-FFF2-40B4-BE49-F238E27FC236}">
              <a16:creationId xmlns:a16="http://schemas.microsoft.com/office/drawing/2014/main" id="{AC1EA49A-BCD7-4959-BA53-2C6B9CABADEA}"/>
            </a:ext>
          </a:extLst>
        </xdr:cNvPr>
        <xdr:cNvSpPr txBox="1">
          <a:spLocks noChangeArrowheads="1"/>
        </xdr:cNvSpPr>
      </xdr:nvSpPr>
      <xdr:spPr bwMode="auto">
        <a:xfrm>
          <a:off x="0" y="205465680"/>
          <a:ext cx="28575" cy="104775"/>
        </a:xfrm>
        <a:prstGeom prst="rect">
          <a:avLst/>
        </a:prstGeom>
        <a:noFill/>
        <a:ln w="9525">
          <a:noFill/>
          <a:miter lim="800000"/>
          <a:headEnd/>
          <a:tailEnd/>
        </a:ln>
      </xdr:spPr>
    </xdr:sp>
    <xdr:clientData/>
  </xdr:oneCellAnchor>
  <xdr:oneCellAnchor>
    <xdr:from>
      <xdr:col>6</xdr:col>
      <xdr:colOff>590550</xdr:colOff>
      <xdr:row>222</xdr:row>
      <xdr:rowOff>0</xdr:rowOff>
    </xdr:from>
    <xdr:ext cx="76200" cy="196850"/>
    <xdr:sp macro="" textlink="">
      <xdr:nvSpPr>
        <xdr:cNvPr id="817" name="Text Box 3">
          <a:extLst>
            <a:ext uri="{FF2B5EF4-FFF2-40B4-BE49-F238E27FC236}">
              <a16:creationId xmlns:a16="http://schemas.microsoft.com/office/drawing/2014/main" id="{F6715AA5-6075-47DF-A9DB-6AE94E171A5E}"/>
            </a:ext>
          </a:extLst>
        </xdr:cNvPr>
        <xdr:cNvSpPr txBox="1">
          <a:spLocks noChangeArrowheads="1"/>
        </xdr:cNvSpPr>
      </xdr:nvSpPr>
      <xdr:spPr bwMode="auto">
        <a:xfrm>
          <a:off x="4354830" y="205465680"/>
          <a:ext cx="76200" cy="196850"/>
        </a:xfrm>
        <a:prstGeom prst="rect">
          <a:avLst/>
        </a:prstGeom>
        <a:noFill/>
        <a:ln w="9525">
          <a:noFill/>
          <a:miter lim="800000"/>
          <a:headEnd/>
          <a:tailEnd/>
        </a:ln>
      </xdr:spPr>
    </xdr:sp>
    <xdr:clientData/>
  </xdr:oneCellAnchor>
  <xdr:oneCellAnchor>
    <xdr:from>
      <xdr:col>0</xdr:col>
      <xdr:colOff>0</xdr:colOff>
      <xdr:row>222</xdr:row>
      <xdr:rowOff>0</xdr:rowOff>
    </xdr:from>
    <xdr:ext cx="28575" cy="104775"/>
    <xdr:sp macro="" textlink="">
      <xdr:nvSpPr>
        <xdr:cNvPr id="818" name="Text Box 4">
          <a:extLst>
            <a:ext uri="{FF2B5EF4-FFF2-40B4-BE49-F238E27FC236}">
              <a16:creationId xmlns:a16="http://schemas.microsoft.com/office/drawing/2014/main" id="{1C75C10D-1B38-4C50-B3A6-3F4D821FF909}"/>
            </a:ext>
          </a:extLst>
        </xdr:cNvPr>
        <xdr:cNvSpPr txBox="1">
          <a:spLocks noChangeArrowheads="1"/>
        </xdr:cNvSpPr>
      </xdr:nvSpPr>
      <xdr:spPr bwMode="auto">
        <a:xfrm>
          <a:off x="0" y="205465680"/>
          <a:ext cx="28575" cy="10477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19" name="Text Box 3">
          <a:extLst>
            <a:ext uri="{FF2B5EF4-FFF2-40B4-BE49-F238E27FC236}">
              <a16:creationId xmlns:a16="http://schemas.microsoft.com/office/drawing/2014/main" id="{54BBF017-57B8-432F-B940-18FBB5C4B597}"/>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20" name="Text Box 3">
          <a:extLst>
            <a:ext uri="{FF2B5EF4-FFF2-40B4-BE49-F238E27FC236}">
              <a16:creationId xmlns:a16="http://schemas.microsoft.com/office/drawing/2014/main" id="{55E9A110-0E73-4506-9DD5-C340CB90FDCA}"/>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1" name="Text Box 3">
          <a:extLst>
            <a:ext uri="{FF2B5EF4-FFF2-40B4-BE49-F238E27FC236}">
              <a16:creationId xmlns:a16="http://schemas.microsoft.com/office/drawing/2014/main" id="{E43FCC3B-75B8-41A9-BDCC-069802E6FB3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2" name="Text Box 3">
          <a:extLst>
            <a:ext uri="{FF2B5EF4-FFF2-40B4-BE49-F238E27FC236}">
              <a16:creationId xmlns:a16="http://schemas.microsoft.com/office/drawing/2014/main" id="{F6AC888F-B93A-41D0-B680-CD3657D0781F}"/>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3" name="Text Box 3">
          <a:extLst>
            <a:ext uri="{FF2B5EF4-FFF2-40B4-BE49-F238E27FC236}">
              <a16:creationId xmlns:a16="http://schemas.microsoft.com/office/drawing/2014/main" id="{850501EC-B687-4134-BF70-B3C7827B209D}"/>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4" name="Text Box 3">
          <a:extLst>
            <a:ext uri="{FF2B5EF4-FFF2-40B4-BE49-F238E27FC236}">
              <a16:creationId xmlns:a16="http://schemas.microsoft.com/office/drawing/2014/main" id="{5B7D380D-4C7F-48F7-BD86-C5F79F4494D9}"/>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5" name="Text Box 3">
          <a:extLst>
            <a:ext uri="{FF2B5EF4-FFF2-40B4-BE49-F238E27FC236}">
              <a16:creationId xmlns:a16="http://schemas.microsoft.com/office/drawing/2014/main" id="{8B933AEE-C1C9-4433-8312-42DC1051F25B}"/>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26" name="Text Box 3">
          <a:extLst>
            <a:ext uri="{FF2B5EF4-FFF2-40B4-BE49-F238E27FC236}">
              <a16:creationId xmlns:a16="http://schemas.microsoft.com/office/drawing/2014/main" id="{60DADFDF-893B-45BC-AC79-DEEC88C90042}"/>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7" name="Text Box 3">
          <a:extLst>
            <a:ext uri="{FF2B5EF4-FFF2-40B4-BE49-F238E27FC236}">
              <a16:creationId xmlns:a16="http://schemas.microsoft.com/office/drawing/2014/main" id="{D8AAC319-A828-466D-8E02-D2D9F35BE53C}"/>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8" name="Text Box 3">
          <a:extLst>
            <a:ext uri="{FF2B5EF4-FFF2-40B4-BE49-F238E27FC236}">
              <a16:creationId xmlns:a16="http://schemas.microsoft.com/office/drawing/2014/main" id="{27AAEA62-B775-453E-9C20-161B1503A603}"/>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9" name="Text Box 3">
          <a:extLst>
            <a:ext uri="{FF2B5EF4-FFF2-40B4-BE49-F238E27FC236}">
              <a16:creationId xmlns:a16="http://schemas.microsoft.com/office/drawing/2014/main" id="{67060B17-4BC6-4157-8D8B-FC7554841924}"/>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0" name="Text Box 3">
          <a:extLst>
            <a:ext uri="{FF2B5EF4-FFF2-40B4-BE49-F238E27FC236}">
              <a16:creationId xmlns:a16="http://schemas.microsoft.com/office/drawing/2014/main" id="{7D1C2C06-5051-4769-B90A-0A4DCFF0D4F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1" name="Text Box 3">
          <a:extLst>
            <a:ext uri="{FF2B5EF4-FFF2-40B4-BE49-F238E27FC236}">
              <a16:creationId xmlns:a16="http://schemas.microsoft.com/office/drawing/2014/main" id="{5B9F3379-DDAF-4A65-8353-645C1979DF7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32" name="Text Box 3">
          <a:extLst>
            <a:ext uri="{FF2B5EF4-FFF2-40B4-BE49-F238E27FC236}">
              <a16:creationId xmlns:a16="http://schemas.microsoft.com/office/drawing/2014/main" id="{9DB2A6FB-C84C-49B6-A063-A42448483DA5}"/>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3" name="Text Box 3">
          <a:extLst>
            <a:ext uri="{FF2B5EF4-FFF2-40B4-BE49-F238E27FC236}">
              <a16:creationId xmlns:a16="http://schemas.microsoft.com/office/drawing/2014/main" id="{5EAEF4D4-DF84-4E44-9319-1C936A16B4AD}"/>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4" name="Text Box 3">
          <a:extLst>
            <a:ext uri="{FF2B5EF4-FFF2-40B4-BE49-F238E27FC236}">
              <a16:creationId xmlns:a16="http://schemas.microsoft.com/office/drawing/2014/main" id="{EF6D543B-DC32-4868-84D1-D3BD5D1B3991}"/>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5" name="Text Box 3">
          <a:extLst>
            <a:ext uri="{FF2B5EF4-FFF2-40B4-BE49-F238E27FC236}">
              <a16:creationId xmlns:a16="http://schemas.microsoft.com/office/drawing/2014/main" id="{5F5C600B-8E78-4E37-8D58-7B92C234F0D2}"/>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6" name="Text Box 3">
          <a:extLst>
            <a:ext uri="{FF2B5EF4-FFF2-40B4-BE49-F238E27FC236}">
              <a16:creationId xmlns:a16="http://schemas.microsoft.com/office/drawing/2014/main" id="{1ED3021A-4074-4C92-A43B-85529327A2E9}"/>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7" name="Text Box 3">
          <a:extLst>
            <a:ext uri="{FF2B5EF4-FFF2-40B4-BE49-F238E27FC236}">
              <a16:creationId xmlns:a16="http://schemas.microsoft.com/office/drawing/2014/main" id="{FA6E338F-6554-4C35-8E14-DC922C0C882D}"/>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38" name="Text Box 3">
          <a:extLst>
            <a:ext uri="{FF2B5EF4-FFF2-40B4-BE49-F238E27FC236}">
              <a16:creationId xmlns:a16="http://schemas.microsoft.com/office/drawing/2014/main" id="{314546B1-E9B0-4D49-8552-5B6917A39873}"/>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9" name="Text Box 3">
          <a:extLst>
            <a:ext uri="{FF2B5EF4-FFF2-40B4-BE49-F238E27FC236}">
              <a16:creationId xmlns:a16="http://schemas.microsoft.com/office/drawing/2014/main" id="{D16D6C2D-C93E-4287-A81D-06F34717D68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0" name="Text Box 3">
          <a:extLst>
            <a:ext uri="{FF2B5EF4-FFF2-40B4-BE49-F238E27FC236}">
              <a16:creationId xmlns:a16="http://schemas.microsoft.com/office/drawing/2014/main" id="{08CB6648-73DB-45F9-8EAC-2B571B4823AF}"/>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1" name="Text Box 3">
          <a:extLst>
            <a:ext uri="{FF2B5EF4-FFF2-40B4-BE49-F238E27FC236}">
              <a16:creationId xmlns:a16="http://schemas.microsoft.com/office/drawing/2014/main" id="{7D88EE30-9D09-49F7-A603-598441C16C5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2" name="Text Box 3">
          <a:extLst>
            <a:ext uri="{FF2B5EF4-FFF2-40B4-BE49-F238E27FC236}">
              <a16:creationId xmlns:a16="http://schemas.microsoft.com/office/drawing/2014/main" id="{F31A0166-BB26-4124-9607-1E4B3C9F8D5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3" name="Text Box 3">
          <a:extLst>
            <a:ext uri="{FF2B5EF4-FFF2-40B4-BE49-F238E27FC236}">
              <a16:creationId xmlns:a16="http://schemas.microsoft.com/office/drawing/2014/main" id="{EF4D15D7-2BCC-4D93-B38E-5470FEA9128B}"/>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44" name="Text Box 3">
          <a:extLst>
            <a:ext uri="{FF2B5EF4-FFF2-40B4-BE49-F238E27FC236}">
              <a16:creationId xmlns:a16="http://schemas.microsoft.com/office/drawing/2014/main" id="{80A586C8-0018-4D42-B4D6-DAE0AF9071E1}"/>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5" name="Text Box 3">
          <a:extLst>
            <a:ext uri="{FF2B5EF4-FFF2-40B4-BE49-F238E27FC236}">
              <a16:creationId xmlns:a16="http://schemas.microsoft.com/office/drawing/2014/main" id="{721AB981-CC3F-4F2E-86DD-1392702B941C}"/>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6" name="Text Box 3">
          <a:extLst>
            <a:ext uri="{FF2B5EF4-FFF2-40B4-BE49-F238E27FC236}">
              <a16:creationId xmlns:a16="http://schemas.microsoft.com/office/drawing/2014/main" id="{FA54C5B5-B7D8-4722-93E5-931E158E47EA}"/>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7" name="Text Box 3">
          <a:extLst>
            <a:ext uri="{FF2B5EF4-FFF2-40B4-BE49-F238E27FC236}">
              <a16:creationId xmlns:a16="http://schemas.microsoft.com/office/drawing/2014/main" id="{86346198-3485-436B-83F4-5E875343F7EE}"/>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8" name="Text Box 3">
          <a:extLst>
            <a:ext uri="{FF2B5EF4-FFF2-40B4-BE49-F238E27FC236}">
              <a16:creationId xmlns:a16="http://schemas.microsoft.com/office/drawing/2014/main" id="{309108B2-2E05-450A-8DBB-8A21B40C55A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9" name="Text Box 3">
          <a:extLst>
            <a:ext uri="{FF2B5EF4-FFF2-40B4-BE49-F238E27FC236}">
              <a16:creationId xmlns:a16="http://schemas.microsoft.com/office/drawing/2014/main" id="{992F4703-93B7-49AF-AD78-529B03CFDBB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50" name="Text Box 3">
          <a:extLst>
            <a:ext uri="{FF2B5EF4-FFF2-40B4-BE49-F238E27FC236}">
              <a16:creationId xmlns:a16="http://schemas.microsoft.com/office/drawing/2014/main" id="{272A1331-0A7E-463D-9871-609796F28493}"/>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1" name="Text Box 3">
          <a:extLst>
            <a:ext uri="{FF2B5EF4-FFF2-40B4-BE49-F238E27FC236}">
              <a16:creationId xmlns:a16="http://schemas.microsoft.com/office/drawing/2014/main" id="{D99A455C-F282-437C-890B-C1979CF66CAE}"/>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2" name="Text Box 3">
          <a:extLst>
            <a:ext uri="{FF2B5EF4-FFF2-40B4-BE49-F238E27FC236}">
              <a16:creationId xmlns:a16="http://schemas.microsoft.com/office/drawing/2014/main" id="{BBB79B95-A40F-4F3D-838D-F2531B68A44A}"/>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3" name="Text Box 3">
          <a:extLst>
            <a:ext uri="{FF2B5EF4-FFF2-40B4-BE49-F238E27FC236}">
              <a16:creationId xmlns:a16="http://schemas.microsoft.com/office/drawing/2014/main" id="{4E9EBA89-AD37-46FA-995C-C228BA241CB1}"/>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4" name="Text Box 3">
          <a:extLst>
            <a:ext uri="{FF2B5EF4-FFF2-40B4-BE49-F238E27FC236}">
              <a16:creationId xmlns:a16="http://schemas.microsoft.com/office/drawing/2014/main" id="{157239A2-CF90-4DE3-9B32-2EBBF38FA81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5" name="Text Box 3">
          <a:extLst>
            <a:ext uri="{FF2B5EF4-FFF2-40B4-BE49-F238E27FC236}">
              <a16:creationId xmlns:a16="http://schemas.microsoft.com/office/drawing/2014/main" id="{A3FB0B71-8BD3-4AB4-BD05-CC6C5566C01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56" name="Text Box 3">
          <a:extLst>
            <a:ext uri="{FF2B5EF4-FFF2-40B4-BE49-F238E27FC236}">
              <a16:creationId xmlns:a16="http://schemas.microsoft.com/office/drawing/2014/main" id="{0C4BF151-53F4-4F4F-B3FC-D000539C82D5}"/>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7" name="Text Box 3">
          <a:extLst>
            <a:ext uri="{FF2B5EF4-FFF2-40B4-BE49-F238E27FC236}">
              <a16:creationId xmlns:a16="http://schemas.microsoft.com/office/drawing/2014/main" id="{FCD50211-6417-4079-B6B7-310FA503F11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222</xdr:row>
      <xdr:rowOff>0</xdr:rowOff>
    </xdr:from>
    <xdr:ext cx="76200" cy="200025"/>
    <xdr:sp macro="" textlink="">
      <xdr:nvSpPr>
        <xdr:cNvPr id="858" name="Text Box 3">
          <a:extLst>
            <a:ext uri="{FF2B5EF4-FFF2-40B4-BE49-F238E27FC236}">
              <a16:creationId xmlns:a16="http://schemas.microsoft.com/office/drawing/2014/main" id="{C4435515-A8BE-4230-82F8-0A97F4F6A69C}"/>
            </a:ext>
          </a:extLst>
        </xdr:cNvPr>
        <xdr:cNvSpPr txBox="1">
          <a:spLocks noChangeArrowheads="1"/>
        </xdr:cNvSpPr>
      </xdr:nvSpPr>
      <xdr:spPr bwMode="auto">
        <a:xfrm>
          <a:off x="4354830" y="205465680"/>
          <a:ext cx="76200" cy="200025"/>
        </a:xfrm>
        <a:prstGeom prst="rect">
          <a:avLst/>
        </a:prstGeom>
        <a:noFill/>
        <a:ln w="9525">
          <a:noFill/>
          <a:miter lim="800000"/>
          <a:headEnd/>
          <a:tailEnd/>
        </a:ln>
      </xdr:spPr>
    </xdr:sp>
    <xdr:clientData/>
  </xdr:oneCellAnchor>
  <xdr:oneCellAnchor>
    <xdr:from>
      <xdr:col>0</xdr:col>
      <xdr:colOff>0</xdr:colOff>
      <xdr:row>222</xdr:row>
      <xdr:rowOff>0</xdr:rowOff>
    </xdr:from>
    <xdr:ext cx="28575" cy="104775"/>
    <xdr:sp macro="" textlink="">
      <xdr:nvSpPr>
        <xdr:cNvPr id="859" name="Text Box 4">
          <a:extLst>
            <a:ext uri="{FF2B5EF4-FFF2-40B4-BE49-F238E27FC236}">
              <a16:creationId xmlns:a16="http://schemas.microsoft.com/office/drawing/2014/main" id="{3A508040-9CBA-4E56-96B0-51F437394DAD}"/>
            </a:ext>
          </a:extLst>
        </xdr:cNvPr>
        <xdr:cNvSpPr txBox="1">
          <a:spLocks noChangeArrowheads="1"/>
        </xdr:cNvSpPr>
      </xdr:nvSpPr>
      <xdr:spPr bwMode="auto">
        <a:xfrm>
          <a:off x="0" y="205465680"/>
          <a:ext cx="28575" cy="10477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60" name="Text Box 3">
          <a:extLst>
            <a:ext uri="{FF2B5EF4-FFF2-40B4-BE49-F238E27FC236}">
              <a16:creationId xmlns:a16="http://schemas.microsoft.com/office/drawing/2014/main" id="{19B83F40-C582-4748-89B5-3F0085AB0E70}"/>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0</xdr:col>
      <xdr:colOff>0</xdr:colOff>
      <xdr:row>221</xdr:row>
      <xdr:rowOff>0</xdr:rowOff>
    </xdr:from>
    <xdr:ext cx="28575" cy="104775"/>
    <xdr:sp macro="" textlink="">
      <xdr:nvSpPr>
        <xdr:cNvPr id="861" name="Text Box 4">
          <a:extLst>
            <a:ext uri="{FF2B5EF4-FFF2-40B4-BE49-F238E27FC236}">
              <a16:creationId xmlns:a16="http://schemas.microsoft.com/office/drawing/2014/main" id="{0A9098DD-03C9-4578-BD71-D97948011137}"/>
            </a:ext>
          </a:extLst>
        </xdr:cNvPr>
        <xdr:cNvSpPr txBox="1">
          <a:spLocks noChangeArrowheads="1"/>
        </xdr:cNvSpPr>
      </xdr:nvSpPr>
      <xdr:spPr bwMode="auto">
        <a:xfrm>
          <a:off x="0" y="205298040"/>
          <a:ext cx="28575" cy="104775"/>
        </a:xfrm>
        <a:prstGeom prst="rect">
          <a:avLst/>
        </a:prstGeom>
        <a:noFill/>
        <a:ln w="9525">
          <a:noFill/>
          <a:miter lim="800000"/>
          <a:headEnd/>
          <a:tailEnd/>
        </a:ln>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6</xdr:col>
      <xdr:colOff>590550</xdr:colOff>
      <xdr:row>32</xdr:row>
      <xdr:rowOff>0</xdr:rowOff>
    </xdr:from>
    <xdr:to>
      <xdr:col>7</xdr:col>
      <xdr:colOff>76200</xdr:colOff>
      <xdr:row>33</xdr:row>
      <xdr:rowOff>38100</xdr:rowOff>
    </xdr:to>
    <xdr:sp macro="" textlink="">
      <xdr:nvSpPr>
        <xdr:cNvPr id="18529" name="Text Box 3">
          <a:extLst>
            <a:ext uri="{FF2B5EF4-FFF2-40B4-BE49-F238E27FC236}">
              <a16:creationId xmlns:a16="http://schemas.microsoft.com/office/drawing/2014/main" id="{00000000-0008-0000-0600-000061480000}"/>
            </a:ext>
          </a:extLst>
        </xdr:cNvPr>
        <xdr:cNvSpPr txBox="1">
          <a:spLocks noChangeArrowheads="1"/>
        </xdr:cNvSpPr>
      </xdr:nvSpPr>
      <xdr:spPr bwMode="auto">
        <a:xfrm>
          <a:off x="3600450" y="8772525"/>
          <a:ext cx="76200" cy="200025"/>
        </a:xfrm>
        <a:prstGeom prst="rect">
          <a:avLst/>
        </a:prstGeom>
        <a:noFill/>
        <a:ln w="9525">
          <a:noFill/>
          <a:miter lim="800000"/>
          <a:headEnd/>
          <a:tailEnd/>
        </a:ln>
      </xdr:spPr>
    </xdr:sp>
    <xdr:clientData/>
  </xdr:twoCellAnchor>
  <xdr:twoCellAnchor editAs="oneCell">
    <xdr:from>
      <xdr:col>1</xdr:col>
      <xdr:colOff>247650</xdr:colOff>
      <xdr:row>32</xdr:row>
      <xdr:rowOff>0</xdr:rowOff>
    </xdr:from>
    <xdr:to>
      <xdr:col>1</xdr:col>
      <xdr:colOff>276225</xdr:colOff>
      <xdr:row>32</xdr:row>
      <xdr:rowOff>104775</xdr:rowOff>
    </xdr:to>
    <xdr:sp macro="" textlink="">
      <xdr:nvSpPr>
        <xdr:cNvPr id="18530" name="Text Box 4">
          <a:extLst>
            <a:ext uri="{FF2B5EF4-FFF2-40B4-BE49-F238E27FC236}">
              <a16:creationId xmlns:a16="http://schemas.microsoft.com/office/drawing/2014/main" id="{00000000-0008-0000-0600-000062480000}"/>
            </a:ext>
          </a:extLst>
        </xdr:cNvPr>
        <xdr:cNvSpPr txBox="1">
          <a:spLocks noChangeArrowheads="1"/>
        </xdr:cNvSpPr>
      </xdr:nvSpPr>
      <xdr:spPr bwMode="auto">
        <a:xfrm>
          <a:off x="685800" y="8829675"/>
          <a:ext cx="28575" cy="1047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vpassmore@fresnocountyca.gov" TargetMode="External"/><Relationship Id="rId1" Type="http://schemas.openxmlformats.org/officeDocument/2006/relationships/hyperlink" Target="mailto:greinke@fresnocountyca.gov"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openjustice.doj.ca.gov/exploration/crime-statistics/arrest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U60"/>
  <sheetViews>
    <sheetView showGridLines="0" tabSelected="1" zoomScaleNormal="100" workbookViewId="0">
      <pane ySplit="6" topLeftCell="A7" activePane="bottomLeft" state="frozen"/>
      <selection pane="bottomLeft" activeCell="A8" sqref="A8:J14"/>
    </sheetView>
  </sheetViews>
  <sheetFormatPr defaultRowHeight="13.2" x14ac:dyDescent="0.25"/>
  <cols>
    <col min="1" max="1" width="9.77734375" style="39" customWidth="1"/>
    <col min="2" max="2" width="9.21875" style="39"/>
    <col min="3" max="3" width="6" style="39" customWidth="1"/>
    <col min="4" max="10" width="10.21875" style="39" customWidth="1"/>
  </cols>
  <sheetData>
    <row r="1" spans="1:10" s="4" customFormat="1" ht="2.1" customHeight="1" x14ac:dyDescent="0.25">
      <c r="A1" s="60"/>
      <c r="B1" s="61"/>
      <c r="C1" s="61"/>
      <c r="D1" s="61"/>
      <c r="E1" s="61"/>
      <c r="F1" s="61"/>
      <c r="G1" s="61"/>
      <c r="H1" s="61"/>
      <c r="I1" s="61"/>
      <c r="J1" s="62"/>
    </row>
    <row r="2" spans="1:10" ht="8.1" customHeight="1" x14ac:dyDescent="0.25">
      <c r="A2" s="257"/>
      <c r="B2" s="258"/>
      <c r="C2" s="104"/>
      <c r="D2" s="85"/>
      <c r="E2" s="85"/>
      <c r="F2" s="85"/>
      <c r="G2" s="85"/>
      <c r="H2" s="85"/>
      <c r="I2" s="85"/>
      <c r="J2" s="86"/>
    </row>
    <row r="3" spans="1:10" ht="15" customHeight="1" x14ac:dyDescent="0.25">
      <c r="A3" s="259"/>
      <c r="B3" s="260"/>
      <c r="C3" s="105"/>
      <c r="D3" s="107" t="s">
        <v>831</v>
      </c>
      <c r="E3" s="87"/>
      <c r="F3" s="87"/>
      <c r="G3" s="87"/>
      <c r="H3" s="87"/>
      <c r="I3" s="87"/>
      <c r="J3" s="88"/>
    </row>
    <row r="4" spans="1:10" ht="15" customHeight="1" x14ac:dyDescent="0.25">
      <c r="A4" s="259"/>
      <c r="B4" s="260"/>
      <c r="C4" s="105"/>
      <c r="D4" s="107" t="s">
        <v>918</v>
      </c>
      <c r="E4" s="87"/>
      <c r="F4" s="87"/>
      <c r="G4" s="87"/>
      <c r="H4" s="87"/>
      <c r="I4" s="87"/>
      <c r="J4" s="88"/>
    </row>
    <row r="5" spans="1:10" ht="15" customHeight="1" x14ac:dyDescent="0.25">
      <c r="A5" s="259"/>
      <c r="B5" s="260"/>
      <c r="C5" s="105"/>
      <c r="D5" s="107" t="s">
        <v>921</v>
      </c>
      <c r="E5" s="63"/>
      <c r="F5" s="63"/>
      <c r="G5" s="63"/>
      <c r="H5" s="63"/>
      <c r="I5" s="63"/>
      <c r="J5" s="64"/>
    </row>
    <row r="6" spans="1:10" ht="8.1" customHeight="1" x14ac:dyDescent="0.25">
      <c r="A6" s="261"/>
      <c r="B6" s="262"/>
      <c r="C6" s="106"/>
      <c r="D6" s="65"/>
      <c r="E6" s="65"/>
      <c r="F6" s="65"/>
      <c r="G6" s="65"/>
      <c r="H6" s="65"/>
      <c r="I6" s="65"/>
      <c r="J6" s="66"/>
    </row>
    <row r="7" spans="1:10" s="1" customFormat="1" ht="6" customHeight="1" x14ac:dyDescent="0.25">
      <c r="A7" s="76"/>
      <c r="B7" s="82"/>
      <c r="C7" s="83"/>
      <c r="D7" s="83"/>
      <c r="E7" s="83"/>
      <c r="F7" s="83"/>
      <c r="G7" s="83"/>
      <c r="H7" s="83"/>
      <c r="I7" s="83"/>
      <c r="J7" s="84"/>
    </row>
    <row r="8" spans="1:10" ht="12.75" customHeight="1" x14ac:dyDescent="0.25">
      <c r="A8" s="272" t="s">
        <v>922</v>
      </c>
      <c r="B8" s="273"/>
      <c r="C8" s="273"/>
      <c r="D8" s="273"/>
      <c r="E8" s="273"/>
      <c r="F8" s="273"/>
      <c r="G8" s="273"/>
      <c r="H8" s="273"/>
      <c r="I8" s="273"/>
      <c r="J8" s="274"/>
    </row>
    <row r="9" spans="1:10" x14ac:dyDescent="0.25">
      <c r="A9" s="275"/>
      <c r="B9" s="273"/>
      <c r="C9" s="273"/>
      <c r="D9" s="273"/>
      <c r="E9" s="273"/>
      <c r="F9" s="273"/>
      <c r="G9" s="273"/>
      <c r="H9" s="273"/>
      <c r="I9" s="273"/>
      <c r="J9" s="274"/>
    </row>
    <row r="10" spans="1:10" x14ac:dyDescent="0.25">
      <c r="A10" s="275"/>
      <c r="B10" s="273"/>
      <c r="C10" s="273"/>
      <c r="D10" s="273"/>
      <c r="E10" s="273"/>
      <c r="F10" s="273"/>
      <c r="G10" s="273"/>
      <c r="H10" s="273"/>
      <c r="I10" s="273"/>
      <c r="J10" s="274"/>
    </row>
    <row r="11" spans="1:10" x14ac:dyDescent="0.25">
      <c r="A11" s="275"/>
      <c r="B11" s="273"/>
      <c r="C11" s="273"/>
      <c r="D11" s="273"/>
      <c r="E11" s="273"/>
      <c r="F11" s="273"/>
      <c r="G11" s="273"/>
      <c r="H11" s="273"/>
      <c r="I11" s="273"/>
      <c r="J11" s="274"/>
    </row>
    <row r="12" spans="1:10" x14ac:dyDescent="0.25">
      <c r="A12" s="275"/>
      <c r="B12" s="273"/>
      <c r="C12" s="273"/>
      <c r="D12" s="273"/>
      <c r="E12" s="273"/>
      <c r="F12" s="273"/>
      <c r="G12" s="273"/>
      <c r="H12" s="273"/>
      <c r="I12" s="273"/>
      <c r="J12" s="274"/>
    </row>
    <row r="13" spans="1:10" x14ac:dyDescent="0.25">
      <c r="A13" s="275"/>
      <c r="B13" s="273"/>
      <c r="C13" s="273"/>
      <c r="D13" s="273"/>
      <c r="E13" s="273"/>
      <c r="F13" s="273"/>
      <c r="G13" s="273"/>
      <c r="H13" s="273"/>
      <c r="I13" s="273"/>
      <c r="J13" s="274"/>
    </row>
    <row r="14" spans="1:10" x14ac:dyDescent="0.25">
      <c r="A14" s="275"/>
      <c r="B14" s="273"/>
      <c r="C14" s="273"/>
      <c r="D14" s="273"/>
      <c r="E14" s="273"/>
      <c r="F14" s="273"/>
      <c r="G14" s="273"/>
      <c r="H14" s="273"/>
      <c r="I14" s="273"/>
      <c r="J14" s="274"/>
    </row>
    <row r="15" spans="1:10" ht="6" customHeight="1" x14ac:dyDescent="0.25">
      <c r="A15" s="276"/>
      <c r="B15" s="277"/>
      <c r="C15" s="277"/>
      <c r="D15" s="277"/>
      <c r="E15" s="277"/>
      <c r="F15" s="277"/>
      <c r="G15" s="277"/>
      <c r="H15" s="277"/>
      <c r="I15" s="277"/>
      <c r="J15" s="278"/>
    </row>
    <row r="16" spans="1:10" ht="12.75" customHeight="1" x14ac:dyDescent="0.25">
      <c r="A16" s="279" t="s">
        <v>927</v>
      </c>
      <c r="B16" s="280"/>
      <c r="C16" s="280"/>
      <c r="D16" s="280"/>
      <c r="E16" s="280"/>
      <c r="F16" s="280"/>
      <c r="G16" s="280"/>
      <c r="H16" s="280"/>
      <c r="I16" s="280"/>
      <c r="J16" s="281"/>
    </row>
    <row r="17" spans="1:18" ht="12.75" customHeight="1" x14ac:dyDescent="0.25">
      <c r="A17" s="279"/>
      <c r="B17" s="280"/>
      <c r="C17" s="280"/>
      <c r="D17" s="280"/>
      <c r="E17" s="280"/>
      <c r="F17" s="280"/>
      <c r="G17" s="280"/>
      <c r="H17" s="280"/>
      <c r="I17" s="280"/>
      <c r="J17" s="281"/>
    </row>
    <row r="18" spans="1:18" ht="6" customHeight="1" x14ac:dyDescent="0.25">
      <c r="A18" s="114"/>
      <c r="B18" s="115"/>
      <c r="C18" s="115"/>
      <c r="D18" s="115"/>
      <c r="E18" s="115"/>
      <c r="F18" s="115"/>
      <c r="G18" s="115"/>
      <c r="H18" s="115"/>
      <c r="I18" s="115"/>
      <c r="J18" s="116"/>
    </row>
    <row r="19" spans="1:18" ht="12.75" customHeight="1" x14ac:dyDescent="0.25">
      <c r="A19" s="235" t="s">
        <v>919</v>
      </c>
      <c r="B19" s="285"/>
      <c r="C19" s="285"/>
      <c r="D19" s="285"/>
      <c r="E19" s="285"/>
      <c r="F19" s="285"/>
      <c r="G19" s="285"/>
      <c r="H19" s="285"/>
      <c r="I19" s="285"/>
      <c r="J19" s="286"/>
    </row>
    <row r="20" spans="1:18" ht="30" customHeight="1" x14ac:dyDescent="0.25">
      <c r="A20" s="287"/>
      <c r="B20" s="285"/>
      <c r="C20" s="285"/>
      <c r="D20" s="285"/>
      <c r="E20" s="285"/>
      <c r="F20" s="285"/>
      <c r="G20" s="285"/>
      <c r="H20" s="285"/>
      <c r="I20" s="285"/>
      <c r="J20" s="286"/>
    </row>
    <row r="21" spans="1:18" ht="4.95" customHeight="1" x14ac:dyDescent="0.25">
      <c r="A21" s="112"/>
      <c r="B21" s="74"/>
      <c r="C21" s="74"/>
      <c r="D21" s="74"/>
      <c r="E21" s="74"/>
      <c r="F21" s="74"/>
      <c r="G21" s="74"/>
      <c r="H21" s="74"/>
      <c r="I21" s="74"/>
      <c r="J21" s="111"/>
    </row>
    <row r="22" spans="1:18" ht="15" customHeight="1" x14ac:dyDescent="0.25">
      <c r="A22" s="67" t="s">
        <v>522</v>
      </c>
      <c r="B22" s="68"/>
      <c r="C22" s="68"/>
      <c r="D22" s="68"/>
      <c r="E22" s="68"/>
      <c r="F22" s="68"/>
      <c r="G22" s="68"/>
      <c r="H22" s="68"/>
      <c r="I22" s="68"/>
      <c r="J22" s="69"/>
      <c r="L22" s="1"/>
      <c r="N22" s="4"/>
      <c r="O22" s="4"/>
      <c r="P22" s="4"/>
      <c r="Q22" s="4"/>
      <c r="R22" s="4"/>
    </row>
    <row r="23" spans="1:18" s="1" customFormat="1" ht="15" customHeight="1" x14ac:dyDescent="0.25">
      <c r="A23" s="282" t="s">
        <v>197</v>
      </c>
      <c r="B23" s="283"/>
      <c r="C23" s="283"/>
      <c r="D23" s="283"/>
      <c r="E23" s="284"/>
      <c r="F23" s="282" t="s">
        <v>198</v>
      </c>
      <c r="G23" s="283"/>
      <c r="H23" s="283"/>
      <c r="I23" s="283"/>
      <c r="J23" s="284"/>
      <c r="N23" s="150"/>
      <c r="O23" s="150"/>
      <c r="P23" s="150"/>
      <c r="Q23" s="150"/>
      <c r="R23" s="150"/>
    </row>
    <row r="24" spans="1:18" s="108" customFormat="1" ht="18.75" customHeight="1" x14ac:dyDescent="0.25">
      <c r="A24" s="265" t="s">
        <v>414</v>
      </c>
      <c r="B24" s="266"/>
      <c r="C24" s="266"/>
      <c r="D24" s="266"/>
      <c r="E24" s="267"/>
      <c r="F24" s="268">
        <v>44105</v>
      </c>
      <c r="G24" s="269"/>
      <c r="H24" s="269"/>
      <c r="I24" s="269"/>
      <c r="J24" s="270"/>
      <c r="N24" s="176"/>
      <c r="O24" s="176"/>
      <c r="P24" s="176"/>
      <c r="Q24" s="176"/>
      <c r="R24" s="176"/>
    </row>
    <row r="25" spans="1:18" ht="15" customHeight="1" x14ac:dyDescent="0.25">
      <c r="A25" s="271" t="s">
        <v>832</v>
      </c>
      <c r="B25" s="231"/>
      <c r="C25" s="231"/>
      <c r="D25" s="231"/>
      <c r="E25" s="231"/>
      <c r="F25" s="231"/>
      <c r="G25" s="231"/>
      <c r="H25" s="231"/>
      <c r="I25" s="231"/>
      <c r="J25" s="232"/>
      <c r="N25" s="4"/>
      <c r="O25" s="4"/>
      <c r="P25" s="4"/>
      <c r="Q25" s="4"/>
      <c r="R25" s="4"/>
    </row>
    <row r="26" spans="1:18" ht="15" customHeight="1" x14ac:dyDescent="0.25">
      <c r="A26" s="238" t="s">
        <v>523</v>
      </c>
      <c r="B26" s="239"/>
      <c r="C26" s="239"/>
      <c r="D26" s="239"/>
      <c r="E26" s="240"/>
      <c r="F26" s="238" t="s">
        <v>525</v>
      </c>
      <c r="G26" s="239"/>
      <c r="H26" s="239"/>
      <c r="I26" s="239"/>
      <c r="J26" s="240"/>
      <c r="N26" s="4"/>
      <c r="O26" s="4"/>
      <c r="P26" s="4"/>
      <c r="Q26" s="4"/>
      <c r="R26" s="4"/>
    </row>
    <row r="27" spans="1:18" ht="15" customHeight="1" x14ac:dyDescent="0.25">
      <c r="A27" s="251" t="s">
        <v>955</v>
      </c>
      <c r="B27" s="252"/>
      <c r="C27" s="252"/>
      <c r="D27" s="252"/>
      <c r="E27" s="253"/>
      <c r="F27" s="251" t="s">
        <v>956</v>
      </c>
      <c r="G27" s="252"/>
      <c r="H27" s="252"/>
      <c r="I27" s="252"/>
      <c r="J27" s="253"/>
      <c r="N27" s="228"/>
      <c r="O27" s="228"/>
      <c r="P27" s="228"/>
      <c r="Q27" s="228"/>
      <c r="R27" s="228"/>
    </row>
    <row r="28" spans="1:18" ht="15" customHeight="1" x14ac:dyDescent="0.25">
      <c r="A28" s="246"/>
      <c r="B28" s="247"/>
      <c r="C28" s="248"/>
      <c r="D28" s="246" t="s">
        <v>524</v>
      </c>
      <c r="E28" s="247"/>
      <c r="F28" s="247"/>
      <c r="G28" s="247"/>
      <c r="H28" s="247"/>
      <c r="I28" s="247"/>
      <c r="J28" s="248"/>
      <c r="N28" s="4"/>
      <c r="O28" s="4"/>
      <c r="P28" s="4"/>
      <c r="Q28" s="4"/>
      <c r="R28" s="4"/>
    </row>
    <row r="29" spans="1:18" ht="15" customHeight="1" x14ac:dyDescent="0.25">
      <c r="A29" s="241" t="s">
        <v>960</v>
      </c>
      <c r="B29" s="242"/>
      <c r="C29" s="243"/>
      <c r="D29" s="254" t="s">
        <v>957</v>
      </c>
      <c r="E29" s="255"/>
      <c r="F29" s="255"/>
      <c r="G29" s="255"/>
      <c r="H29" s="255"/>
      <c r="I29" s="255"/>
      <c r="J29" s="256"/>
      <c r="N29" s="4"/>
      <c r="O29" s="4"/>
      <c r="P29" s="4"/>
      <c r="Q29" s="4"/>
      <c r="R29" s="4"/>
    </row>
    <row r="30" spans="1:18" ht="15" customHeight="1" x14ac:dyDescent="0.25">
      <c r="A30" s="249" t="s">
        <v>842</v>
      </c>
      <c r="B30" s="250"/>
      <c r="C30" s="250"/>
      <c r="D30" s="250"/>
      <c r="E30" s="250"/>
      <c r="F30" s="231"/>
      <c r="G30" s="231"/>
      <c r="H30" s="231"/>
      <c r="I30" s="231"/>
      <c r="J30" s="232"/>
      <c r="N30" s="4"/>
      <c r="O30" s="4"/>
      <c r="P30" s="4"/>
      <c r="Q30" s="4"/>
      <c r="R30" s="4"/>
    </row>
    <row r="31" spans="1:18" ht="15" customHeight="1" x14ac:dyDescent="0.25">
      <c r="A31" s="238" t="s">
        <v>523</v>
      </c>
      <c r="B31" s="239"/>
      <c r="C31" s="239"/>
      <c r="D31" s="239"/>
      <c r="E31" s="239"/>
      <c r="F31" s="238" t="s">
        <v>525</v>
      </c>
      <c r="G31" s="239"/>
      <c r="H31" s="239"/>
      <c r="I31" s="239"/>
      <c r="J31" s="240"/>
    </row>
    <row r="32" spans="1:18" ht="15" customHeight="1" x14ac:dyDescent="0.25">
      <c r="A32" s="244" t="s">
        <v>958</v>
      </c>
      <c r="B32" s="245"/>
      <c r="C32" s="245"/>
      <c r="D32" s="245"/>
      <c r="E32" s="245"/>
      <c r="F32" s="244" t="s">
        <v>959</v>
      </c>
      <c r="G32" s="245"/>
      <c r="H32" s="245"/>
      <c r="I32" s="245"/>
      <c r="J32" s="264"/>
    </row>
    <row r="33" spans="1:21" ht="15" customHeight="1" x14ac:dyDescent="0.25">
      <c r="A33" s="238" t="s">
        <v>463</v>
      </c>
      <c r="B33" s="239"/>
      <c r="C33" s="240"/>
      <c r="D33" s="239" t="s">
        <v>524</v>
      </c>
      <c r="E33" s="239"/>
      <c r="F33" s="239"/>
      <c r="G33" s="239"/>
      <c r="H33" s="239"/>
      <c r="I33" s="239"/>
      <c r="J33" s="240"/>
    </row>
    <row r="34" spans="1:21" ht="15" customHeight="1" x14ac:dyDescent="0.25">
      <c r="A34" s="241" t="s">
        <v>962</v>
      </c>
      <c r="B34" s="242"/>
      <c r="C34" s="243"/>
      <c r="D34" s="263" t="s">
        <v>961</v>
      </c>
      <c r="E34" s="255"/>
      <c r="F34" s="255"/>
      <c r="G34" s="255"/>
      <c r="H34" s="255"/>
      <c r="I34" s="255"/>
      <c r="J34" s="256"/>
    </row>
    <row r="35" spans="1:21" x14ac:dyDescent="0.25">
      <c r="A35" s="229" t="s">
        <v>526</v>
      </c>
      <c r="B35" s="230"/>
      <c r="C35" s="230"/>
      <c r="D35" s="231"/>
      <c r="E35" s="231"/>
      <c r="F35" s="231"/>
      <c r="G35" s="231"/>
      <c r="H35" s="231"/>
      <c r="I35" s="231"/>
      <c r="J35" s="232"/>
    </row>
    <row r="36" spans="1:21" s="1" customFormat="1" ht="6" customHeight="1" x14ac:dyDescent="0.25">
      <c r="A36" s="78"/>
      <c r="B36" s="79"/>
      <c r="C36" s="79"/>
      <c r="D36" s="80"/>
      <c r="E36" s="80"/>
      <c r="F36" s="80"/>
      <c r="G36" s="80"/>
      <c r="H36" s="80"/>
      <c r="I36" s="80"/>
      <c r="J36" s="81"/>
    </row>
    <row r="37" spans="1:21" ht="12.75" customHeight="1" x14ac:dyDescent="0.25">
      <c r="A37" s="235" t="s">
        <v>963</v>
      </c>
      <c r="B37" s="236"/>
      <c r="C37" s="236"/>
      <c r="D37" s="236"/>
      <c r="E37" s="236"/>
      <c r="F37" s="236"/>
      <c r="G37" s="236"/>
      <c r="H37" s="236"/>
      <c r="I37" s="236"/>
      <c r="J37" s="237"/>
    </row>
    <row r="38" spans="1:21" x14ac:dyDescent="0.25">
      <c r="A38" s="235"/>
      <c r="B38" s="236"/>
      <c r="C38" s="236"/>
      <c r="D38" s="236"/>
      <c r="E38" s="236"/>
      <c r="F38" s="236"/>
      <c r="G38" s="236"/>
      <c r="H38" s="236"/>
      <c r="I38" s="236"/>
      <c r="J38" s="237"/>
      <c r="L38" s="4"/>
      <c r="M38" s="4"/>
      <c r="N38" s="4"/>
      <c r="O38" s="4"/>
      <c r="P38" s="4"/>
      <c r="Q38" s="4"/>
      <c r="R38" s="4"/>
      <c r="S38" s="4"/>
      <c r="T38" s="4"/>
      <c r="U38" s="4"/>
    </row>
    <row r="39" spans="1:21" x14ac:dyDescent="0.25">
      <c r="A39" s="235"/>
      <c r="B39" s="236"/>
      <c r="C39" s="236"/>
      <c r="D39" s="236"/>
      <c r="E39" s="236"/>
      <c r="F39" s="236"/>
      <c r="G39" s="236"/>
      <c r="H39" s="236"/>
      <c r="I39" s="236"/>
      <c r="J39" s="237"/>
      <c r="L39" s="4"/>
      <c r="M39" s="4"/>
      <c r="N39" s="4"/>
      <c r="O39" s="4"/>
      <c r="P39" s="4"/>
      <c r="Q39" s="4"/>
      <c r="R39" s="4"/>
      <c r="S39" s="4"/>
      <c r="T39" s="4"/>
      <c r="U39" s="4"/>
    </row>
    <row r="40" spans="1:21" ht="6" customHeight="1" x14ac:dyDescent="0.25">
      <c r="A40" s="235"/>
      <c r="B40" s="236"/>
      <c r="C40" s="236"/>
      <c r="D40" s="236"/>
      <c r="E40" s="236"/>
      <c r="F40" s="236"/>
      <c r="G40" s="236"/>
      <c r="H40" s="236"/>
      <c r="I40" s="236"/>
      <c r="J40" s="237"/>
      <c r="L40" s="4"/>
      <c r="M40" s="4"/>
      <c r="N40" s="4"/>
      <c r="O40" s="4"/>
      <c r="P40" s="4"/>
      <c r="Q40" s="4"/>
      <c r="R40" s="4"/>
      <c r="S40" s="4"/>
      <c r="T40" s="4"/>
      <c r="U40" s="4"/>
    </row>
    <row r="41" spans="1:21" ht="22.2" customHeight="1" x14ac:dyDescent="0.25">
      <c r="A41" s="235"/>
      <c r="B41" s="236"/>
      <c r="C41" s="236"/>
      <c r="D41" s="236"/>
      <c r="E41" s="236"/>
      <c r="F41" s="236"/>
      <c r="G41" s="236"/>
      <c r="H41" s="236"/>
      <c r="I41" s="236"/>
      <c r="J41" s="237"/>
      <c r="L41" s="233"/>
      <c r="M41" s="233"/>
      <c r="N41" s="233"/>
      <c r="O41" s="233"/>
      <c r="P41" s="233"/>
      <c r="Q41" s="233"/>
      <c r="R41" s="233"/>
      <c r="S41" s="233"/>
      <c r="T41" s="233"/>
      <c r="U41" s="4"/>
    </row>
    <row r="42" spans="1:21" ht="12" customHeight="1" x14ac:dyDescent="0.25">
      <c r="A42" s="235"/>
      <c r="B42" s="236"/>
      <c r="C42" s="236"/>
      <c r="D42" s="236"/>
      <c r="E42" s="236"/>
      <c r="F42" s="236"/>
      <c r="G42" s="236"/>
      <c r="H42" s="236"/>
      <c r="I42" s="236"/>
      <c r="J42" s="237"/>
      <c r="L42" s="233"/>
      <c r="M42" s="233"/>
      <c r="N42" s="233"/>
      <c r="O42" s="233"/>
      <c r="P42" s="233"/>
      <c r="Q42" s="233"/>
      <c r="R42" s="233"/>
      <c r="S42" s="233"/>
      <c r="T42" s="233"/>
      <c r="U42" s="4"/>
    </row>
    <row r="43" spans="1:21" ht="12.75" customHeight="1" x14ac:dyDescent="0.25">
      <c r="A43" s="235"/>
      <c r="B43" s="236"/>
      <c r="C43" s="236"/>
      <c r="D43" s="236"/>
      <c r="E43" s="236"/>
      <c r="F43" s="236"/>
      <c r="G43" s="236"/>
      <c r="H43" s="236"/>
      <c r="I43" s="236"/>
      <c r="J43" s="237"/>
      <c r="L43" s="233"/>
      <c r="M43" s="233"/>
      <c r="N43" s="233"/>
      <c r="O43" s="233"/>
      <c r="P43" s="233"/>
      <c r="Q43" s="233"/>
      <c r="R43" s="233"/>
      <c r="S43" s="233"/>
      <c r="T43" s="233"/>
      <c r="U43" s="4"/>
    </row>
    <row r="44" spans="1:21" ht="12.75" customHeight="1" x14ac:dyDescent="0.25">
      <c r="A44" s="235"/>
      <c r="B44" s="236"/>
      <c r="C44" s="236"/>
      <c r="D44" s="236"/>
      <c r="E44" s="236"/>
      <c r="F44" s="236"/>
      <c r="G44" s="236"/>
      <c r="H44" s="236"/>
      <c r="I44" s="236"/>
      <c r="J44" s="237"/>
      <c r="L44" s="233"/>
      <c r="M44" s="233"/>
      <c r="N44" s="233"/>
      <c r="O44" s="233"/>
      <c r="P44" s="233"/>
      <c r="Q44" s="233"/>
      <c r="R44" s="233"/>
      <c r="S44" s="233"/>
      <c r="T44" s="233"/>
      <c r="U44" s="4"/>
    </row>
    <row r="45" spans="1:21" ht="6" customHeight="1" x14ac:dyDescent="0.25">
      <c r="A45" s="235"/>
      <c r="B45" s="236"/>
      <c r="C45" s="236"/>
      <c r="D45" s="236"/>
      <c r="E45" s="236"/>
      <c r="F45" s="236"/>
      <c r="G45" s="236"/>
      <c r="H45" s="236"/>
      <c r="I45" s="236"/>
      <c r="J45" s="237"/>
      <c r="L45" s="233"/>
      <c r="M45" s="233"/>
      <c r="N45" s="233"/>
      <c r="O45" s="233"/>
      <c r="P45" s="233"/>
      <c r="Q45" s="233"/>
      <c r="R45" s="233"/>
      <c r="S45" s="233"/>
      <c r="T45" s="233"/>
      <c r="U45" s="4"/>
    </row>
    <row r="46" spans="1:21" ht="12.75" customHeight="1" x14ac:dyDescent="0.25">
      <c r="A46" s="235"/>
      <c r="B46" s="236"/>
      <c r="C46" s="236"/>
      <c r="D46" s="236"/>
      <c r="E46" s="236"/>
      <c r="F46" s="236"/>
      <c r="G46" s="236"/>
      <c r="H46" s="236"/>
      <c r="I46" s="236"/>
      <c r="J46" s="237"/>
      <c r="L46" s="4"/>
      <c r="M46" s="4"/>
      <c r="N46" s="4"/>
      <c r="O46" s="4"/>
      <c r="P46" s="4"/>
      <c r="Q46" s="4"/>
      <c r="R46" s="4"/>
      <c r="S46" s="4"/>
      <c r="T46" s="4"/>
      <c r="U46" s="4"/>
    </row>
    <row r="47" spans="1:21" ht="12.75" customHeight="1" x14ac:dyDescent="0.25">
      <c r="A47" s="235"/>
      <c r="B47" s="236"/>
      <c r="C47" s="236"/>
      <c r="D47" s="236"/>
      <c r="E47" s="236"/>
      <c r="F47" s="236"/>
      <c r="G47" s="236"/>
      <c r="H47" s="236"/>
      <c r="I47" s="236"/>
      <c r="J47" s="237"/>
      <c r="L47" s="4"/>
      <c r="M47" s="4"/>
      <c r="N47" s="4"/>
      <c r="O47" s="4"/>
      <c r="P47" s="4"/>
      <c r="Q47" s="4"/>
      <c r="R47" s="4"/>
      <c r="S47" s="4"/>
      <c r="T47" s="4"/>
      <c r="U47" s="4"/>
    </row>
    <row r="48" spans="1:21" ht="12.75" customHeight="1" x14ac:dyDescent="0.25">
      <c r="A48" s="235"/>
      <c r="B48" s="236"/>
      <c r="C48" s="236"/>
      <c r="D48" s="236"/>
      <c r="E48" s="236"/>
      <c r="F48" s="236"/>
      <c r="G48" s="236"/>
      <c r="H48" s="236"/>
      <c r="I48" s="236"/>
      <c r="J48" s="237"/>
      <c r="L48" s="234"/>
      <c r="M48" s="234"/>
      <c r="N48" s="234"/>
      <c r="O48" s="234"/>
      <c r="P48" s="234"/>
      <c r="Q48" s="234"/>
      <c r="R48" s="234"/>
      <c r="S48" s="234"/>
      <c r="T48" s="234"/>
      <c r="U48" s="4"/>
    </row>
    <row r="49" spans="1:21" ht="12" customHeight="1" x14ac:dyDescent="0.25">
      <c r="A49" s="235"/>
      <c r="B49" s="236"/>
      <c r="C49" s="236"/>
      <c r="D49" s="236"/>
      <c r="E49" s="236"/>
      <c r="F49" s="236"/>
      <c r="G49" s="236"/>
      <c r="H49" s="236"/>
      <c r="I49" s="236"/>
      <c r="J49" s="237"/>
      <c r="L49" s="234"/>
      <c r="M49" s="234"/>
      <c r="N49" s="234"/>
      <c r="O49" s="234"/>
      <c r="P49" s="234"/>
      <c r="Q49" s="234"/>
      <c r="R49" s="234"/>
      <c r="S49" s="234"/>
      <c r="T49" s="234"/>
      <c r="U49" s="4"/>
    </row>
    <row r="50" spans="1:21" s="113" customFormat="1" ht="55.95" customHeight="1" x14ac:dyDescent="0.25">
      <c r="A50" s="235"/>
      <c r="B50" s="236"/>
      <c r="C50" s="236"/>
      <c r="D50" s="236"/>
      <c r="E50" s="236"/>
      <c r="F50" s="236"/>
      <c r="G50" s="236"/>
      <c r="H50" s="236"/>
      <c r="I50" s="236"/>
      <c r="J50" s="237"/>
      <c r="L50" s="234"/>
      <c r="M50" s="234"/>
      <c r="N50" s="234"/>
      <c r="O50" s="234"/>
      <c r="P50" s="234"/>
      <c r="Q50" s="234"/>
      <c r="R50" s="234"/>
      <c r="S50" s="234"/>
      <c r="T50" s="234"/>
      <c r="U50" s="197"/>
    </row>
    <row r="51" spans="1:21" ht="14.7" customHeight="1" x14ac:dyDescent="0.25">
      <c r="A51" s="117"/>
      <c r="B51" s="118"/>
      <c r="C51" s="118"/>
      <c r="D51" s="118"/>
      <c r="E51" s="118"/>
      <c r="F51" s="118"/>
      <c r="G51" s="118"/>
      <c r="H51" s="118"/>
      <c r="I51" s="118"/>
      <c r="J51" s="119"/>
    </row>
    <row r="52" spans="1:21" ht="12.75" customHeight="1" x14ac:dyDescent="0.25">
      <c r="A52" s="77"/>
      <c r="B52" s="77"/>
      <c r="C52" s="77"/>
      <c r="D52" s="77"/>
      <c r="E52" s="77"/>
      <c r="F52" s="77"/>
      <c r="G52" s="77"/>
      <c r="H52" s="77"/>
      <c r="I52" s="77"/>
      <c r="J52" s="77"/>
    </row>
    <row r="53" spans="1:21" ht="12.75" customHeight="1" x14ac:dyDescent="0.25">
      <c r="A53" s="70"/>
      <c r="B53" s="70"/>
      <c r="C53" s="70"/>
      <c r="D53" s="70"/>
      <c r="E53" s="70"/>
      <c r="F53" s="70"/>
      <c r="G53" s="70"/>
      <c r="H53" s="70"/>
      <c r="I53" s="70"/>
      <c r="J53" s="70"/>
    </row>
    <row r="60" spans="1:21" x14ac:dyDescent="0.25">
      <c r="H60" s="75"/>
    </row>
  </sheetData>
  <sheetProtection selectLockedCells="1"/>
  <mergeCells count="32">
    <mergeCell ref="A2:B6"/>
    <mergeCell ref="A34:C34"/>
    <mergeCell ref="D34:J34"/>
    <mergeCell ref="F32:J32"/>
    <mergeCell ref="A24:E24"/>
    <mergeCell ref="F24:J24"/>
    <mergeCell ref="A25:J25"/>
    <mergeCell ref="A8:J14"/>
    <mergeCell ref="A15:J15"/>
    <mergeCell ref="A16:J17"/>
    <mergeCell ref="A23:E23"/>
    <mergeCell ref="F23:J23"/>
    <mergeCell ref="A19:J20"/>
    <mergeCell ref="A33:C33"/>
    <mergeCell ref="D33:J33"/>
    <mergeCell ref="A26:E26"/>
    <mergeCell ref="F26:J26"/>
    <mergeCell ref="A32:E32"/>
    <mergeCell ref="A28:C28"/>
    <mergeCell ref="A30:J30"/>
    <mergeCell ref="A27:E27"/>
    <mergeCell ref="F27:J27"/>
    <mergeCell ref="D28:J28"/>
    <mergeCell ref="D29:J29"/>
    <mergeCell ref="N27:R27"/>
    <mergeCell ref="A35:J35"/>
    <mergeCell ref="L41:T45"/>
    <mergeCell ref="L48:T50"/>
    <mergeCell ref="A37:J50"/>
    <mergeCell ref="A31:E31"/>
    <mergeCell ref="F31:J31"/>
    <mergeCell ref="A29:C29"/>
  </mergeCells>
  <phoneticPr fontId="2" type="noConversion"/>
  <dataValidations xWindow="126" yWindow="613" count="8">
    <dataValidation type="textLength" allowBlank="1" showInputMessage="1" showErrorMessage="1" sqref="A32:J32" xr:uid="{00000000-0002-0000-0000-000000000000}">
      <formula1>1</formula1>
      <formula2>30</formula2>
    </dataValidation>
    <dataValidation allowBlank="1" showInputMessage="1" showErrorMessage="1" prompt="Enter phone number in xxx-xxx-xxxx format." sqref="A30" xr:uid="{00000000-0002-0000-0000-000001000000}"/>
    <dataValidation allowBlank="1" showErrorMessage="1" sqref="D34:J34" xr:uid="{00000000-0002-0000-0000-000002000000}"/>
    <dataValidation allowBlank="1" showErrorMessage="1" prompt="Enter phone number in xxx-xxx-xxxx format." sqref="C29 C34" xr:uid="{00000000-0002-0000-0000-000003000000}"/>
    <dataValidation allowBlank="1" showErrorMessage="1" prompt="Enter fax number in xxx-xxx-xxxx format." sqref="D29:J29" xr:uid="{00000000-0002-0000-0000-000004000000}"/>
    <dataValidation type="list" allowBlank="1" showInputMessage="1" showErrorMessage="1" prompt="Select your county from the drop down list." sqref="A24:E24" xr:uid="{00000000-0002-0000-0000-000005000000}">
      <formula1>Counties</formula1>
    </dataValidation>
    <dataValidation showInputMessage="1" showErrorMessage="1" prompt="Enter in MM/DD/YYYY format." sqref="F24:J24" xr:uid="{00000000-0002-0000-0000-000006000000}"/>
    <dataValidation type="textLength" allowBlank="1" showInputMessage="1" showErrorMessage="1" prompt="Include area code." sqref="A34:B34 A29:B29" xr:uid="{00000000-0002-0000-0000-000007000000}">
      <formula1>1</formula1>
      <formula2>40</formula2>
    </dataValidation>
  </dataValidations>
  <hyperlinks>
    <hyperlink ref="D29" r:id="rId1" xr:uid="{E50677C9-1198-4CB5-A2D3-DFE13D65A347}"/>
    <hyperlink ref="D34" r:id="rId2" xr:uid="{E17D2420-8C84-438B-9A41-F80B4C6A90C9}"/>
  </hyperlinks>
  <printOptions horizontalCentered="1"/>
  <pageMargins left="0.5" right="0.5" top="0.5" bottom="0.5" header="0.5" footer="0.25"/>
  <pageSetup scale="98" orientation="portrait" horizontalDpi="300" verticalDpi="300" copies="2" r:id="rId3"/>
  <headerFooter>
    <oddFooter>&amp;L&amp;7&amp;Z&amp;F
Contact Information Tab</oddFooter>
  </headerFooter>
  <rowBreaks count="1" manualBreakCount="1">
    <brk id="53" max="16383" man="1"/>
  </row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K56"/>
  <sheetViews>
    <sheetView workbookViewId="0">
      <selection activeCell="A56" sqref="A56:D56"/>
    </sheetView>
  </sheetViews>
  <sheetFormatPr defaultRowHeight="13.2" x14ac:dyDescent="0.25"/>
  <sheetData>
    <row r="1" spans="1:11" ht="15.6" x14ac:dyDescent="0.3">
      <c r="A1" s="592" t="s">
        <v>322</v>
      </c>
      <c r="B1" s="593"/>
      <c r="C1" s="593"/>
      <c r="D1" s="593"/>
      <c r="E1" s="593"/>
      <c r="F1" s="593"/>
      <c r="G1" s="593"/>
      <c r="H1" s="593"/>
      <c r="I1" s="593"/>
      <c r="J1" s="594"/>
    </row>
    <row r="2" spans="1:11" x14ac:dyDescent="0.25">
      <c r="A2" s="595" t="s">
        <v>199</v>
      </c>
      <c r="B2" s="596"/>
      <c r="C2" s="596"/>
      <c r="D2" s="596"/>
      <c r="E2" s="596"/>
      <c r="F2" s="596"/>
      <c r="G2" s="596"/>
      <c r="H2" s="596"/>
      <c r="I2" s="596"/>
      <c r="J2" s="597"/>
    </row>
    <row r="3" spans="1:11" x14ac:dyDescent="0.25">
      <c r="A3" s="598"/>
      <c r="B3" s="599"/>
      <c r="C3" s="599"/>
      <c r="D3" s="599"/>
      <c r="E3" s="599"/>
      <c r="F3" s="599"/>
      <c r="G3" s="599"/>
      <c r="H3" s="599"/>
      <c r="I3" s="599"/>
      <c r="J3" s="600"/>
    </row>
    <row r="4" spans="1:11" x14ac:dyDescent="0.25">
      <c r="A4" s="601"/>
      <c r="B4" s="602"/>
      <c r="C4" s="602"/>
      <c r="D4" s="602"/>
      <c r="E4" s="602"/>
      <c r="F4" s="602"/>
      <c r="G4" s="602"/>
      <c r="H4" s="602"/>
      <c r="I4" s="602"/>
      <c r="J4" s="603"/>
    </row>
    <row r="5" spans="1:11" x14ac:dyDescent="0.25">
      <c r="A5" s="6"/>
      <c r="B5" s="7"/>
      <c r="C5" s="7"/>
      <c r="D5" s="7"/>
      <c r="E5" s="7"/>
      <c r="F5" s="7"/>
      <c r="G5" s="7"/>
      <c r="H5" s="7"/>
      <c r="I5" s="7"/>
      <c r="J5" s="8"/>
    </row>
    <row r="6" spans="1:11" x14ac:dyDescent="0.25">
      <c r="A6" s="32"/>
      <c r="B6" s="4"/>
      <c r="C6" s="4"/>
      <c r="D6" s="4"/>
      <c r="E6" s="4"/>
      <c r="F6" s="4"/>
      <c r="G6" s="4"/>
      <c r="H6" s="604" t="s">
        <v>200</v>
      </c>
      <c r="I6" s="604"/>
      <c r="J6" s="605"/>
      <c r="K6" s="3"/>
    </row>
    <row r="7" spans="1:11" x14ac:dyDescent="0.25">
      <c r="A7" s="608" t="s">
        <v>201</v>
      </c>
      <c r="B7" s="609"/>
      <c r="C7" s="609"/>
      <c r="D7" s="609"/>
      <c r="E7" s="609"/>
      <c r="F7" s="609"/>
      <c r="G7" s="609"/>
      <c r="H7" s="606"/>
      <c r="I7" s="606"/>
      <c r="J7" s="607"/>
    </row>
    <row r="8" spans="1:11" x14ac:dyDescent="0.25">
      <c r="A8" s="586" t="s">
        <v>369</v>
      </c>
      <c r="B8" s="587"/>
      <c r="C8" s="587"/>
      <c r="D8" s="587"/>
      <c r="E8" s="587"/>
      <c r="F8" s="587"/>
      <c r="G8" s="588"/>
      <c r="H8" s="5"/>
      <c r="I8" s="33"/>
      <c r="J8" s="5"/>
    </row>
    <row r="9" spans="1:11" x14ac:dyDescent="0.25">
      <c r="A9" s="589" t="s">
        <v>370</v>
      </c>
      <c r="B9" s="590"/>
      <c r="C9" s="590"/>
      <c r="D9" s="590"/>
      <c r="E9" s="590"/>
      <c r="F9" s="590"/>
      <c r="G9" s="591"/>
      <c r="H9" s="5"/>
      <c r="I9" s="34"/>
      <c r="J9" s="5"/>
    </row>
    <row r="10" spans="1:11" x14ac:dyDescent="0.25">
      <c r="A10" s="586" t="s">
        <v>202</v>
      </c>
      <c r="B10" s="587"/>
      <c r="C10" s="587"/>
      <c r="D10" s="587"/>
      <c r="E10" s="587"/>
      <c r="F10" s="587"/>
      <c r="G10" s="588"/>
      <c r="H10" s="5"/>
      <c r="I10" s="33"/>
      <c r="J10" s="5"/>
    </row>
    <row r="11" spans="1:11" x14ac:dyDescent="0.25">
      <c r="A11" s="589" t="s">
        <v>203</v>
      </c>
      <c r="B11" s="590"/>
      <c r="C11" s="590"/>
      <c r="D11" s="590"/>
      <c r="E11" s="590"/>
      <c r="F11" s="590"/>
      <c r="G11" s="591"/>
      <c r="H11" s="5"/>
      <c r="I11" s="34"/>
      <c r="J11" s="5"/>
    </row>
    <row r="12" spans="1:11" x14ac:dyDescent="0.25">
      <c r="A12" s="586" t="s">
        <v>204</v>
      </c>
      <c r="B12" s="587"/>
      <c r="C12" s="587"/>
      <c r="D12" s="587"/>
      <c r="E12" s="587"/>
      <c r="F12" s="587"/>
      <c r="G12" s="588"/>
      <c r="H12" s="5"/>
      <c r="I12" s="33"/>
      <c r="J12" s="5"/>
    </row>
    <row r="13" spans="1:11" x14ac:dyDescent="0.25">
      <c r="A13" s="589" t="s">
        <v>205</v>
      </c>
      <c r="B13" s="590"/>
      <c r="C13" s="590"/>
      <c r="D13" s="590"/>
      <c r="E13" s="590"/>
      <c r="F13" s="590"/>
      <c r="G13" s="591"/>
      <c r="H13" s="5"/>
      <c r="I13" s="34"/>
      <c r="J13" s="5"/>
    </row>
    <row r="14" spans="1:11" x14ac:dyDescent="0.25">
      <c r="A14" s="586" t="s">
        <v>371</v>
      </c>
      <c r="B14" s="587"/>
      <c r="C14" s="587"/>
      <c r="D14" s="587"/>
      <c r="E14" s="587"/>
      <c r="F14" s="587"/>
      <c r="G14" s="588"/>
      <c r="H14" s="5"/>
      <c r="I14" s="33"/>
      <c r="J14" s="5"/>
    </row>
    <row r="15" spans="1:11" x14ac:dyDescent="0.25">
      <c r="A15" s="589" t="s">
        <v>206</v>
      </c>
      <c r="B15" s="590"/>
      <c r="C15" s="590"/>
      <c r="D15" s="590"/>
      <c r="E15" s="590"/>
      <c r="F15" s="590"/>
      <c r="G15" s="591"/>
      <c r="H15" s="5"/>
      <c r="I15" s="34"/>
      <c r="J15" s="5"/>
    </row>
    <row r="16" spans="1:11" x14ac:dyDescent="0.25">
      <c r="A16" s="586" t="s">
        <v>207</v>
      </c>
      <c r="B16" s="587"/>
      <c r="C16" s="587"/>
      <c r="D16" s="587"/>
      <c r="E16" s="587"/>
      <c r="F16" s="587"/>
      <c r="G16" s="588"/>
      <c r="H16" s="5"/>
      <c r="I16" s="33"/>
      <c r="J16" s="5"/>
    </row>
    <row r="17" spans="1:10" x14ac:dyDescent="0.25">
      <c r="A17" s="589" t="s">
        <v>208</v>
      </c>
      <c r="B17" s="590"/>
      <c r="C17" s="590"/>
      <c r="D17" s="590"/>
      <c r="E17" s="590"/>
      <c r="F17" s="590"/>
      <c r="G17" s="591"/>
      <c r="H17" s="5"/>
      <c r="I17" s="34"/>
      <c r="J17" s="5"/>
    </row>
    <row r="18" spans="1:10" x14ac:dyDescent="0.25">
      <c r="A18" s="586" t="s">
        <v>209</v>
      </c>
      <c r="B18" s="587"/>
      <c r="C18" s="587"/>
      <c r="D18" s="587"/>
      <c r="E18" s="587"/>
      <c r="F18" s="587"/>
      <c r="G18" s="588"/>
      <c r="H18" s="5"/>
      <c r="I18" s="33"/>
      <c r="J18" s="5"/>
    </row>
    <row r="19" spans="1:10" x14ac:dyDescent="0.25">
      <c r="A19" s="589" t="s">
        <v>210</v>
      </c>
      <c r="B19" s="591"/>
      <c r="C19" s="612"/>
      <c r="D19" s="613"/>
      <c r="E19" s="613"/>
      <c r="F19" s="613"/>
      <c r="G19" s="614"/>
      <c r="H19" s="5"/>
      <c r="I19" s="34"/>
      <c r="J19" s="5"/>
    </row>
    <row r="20" spans="1:10" x14ac:dyDescent="0.25">
      <c r="A20" s="586" t="s">
        <v>210</v>
      </c>
      <c r="B20" s="588"/>
      <c r="C20" s="615"/>
      <c r="D20" s="616"/>
      <c r="E20" s="616"/>
      <c r="F20" s="616"/>
      <c r="G20" s="617"/>
      <c r="H20" s="5"/>
      <c r="I20" s="33"/>
      <c r="J20" s="5"/>
    </row>
    <row r="21" spans="1:10" x14ac:dyDescent="0.25">
      <c r="A21" s="589" t="s">
        <v>210</v>
      </c>
      <c r="B21" s="591"/>
      <c r="C21" s="612"/>
      <c r="D21" s="613"/>
      <c r="E21" s="613"/>
      <c r="F21" s="613"/>
      <c r="G21" s="614"/>
      <c r="H21" s="5"/>
      <c r="I21" s="34"/>
      <c r="J21" s="5"/>
    </row>
    <row r="22" spans="1:10" x14ac:dyDescent="0.25">
      <c r="A22" s="586" t="s">
        <v>210</v>
      </c>
      <c r="B22" s="588"/>
      <c r="C22" s="615"/>
      <c r="D22" s="616"/>
      <c r="E22" s="616"/>
      <c r="F22" s="616"/>
      <c r="G22" s="617"/>
      <c r="H22" s="5"/>
      <c r="I22" s="33"/>
      <c r="J22" s="5"/>
    </row>
    <row r="56" spans="1:8" x14ac:dyDescent="0.25">
      <c r="A56" s="610" t="s">
        <v>325</v>
      </c>
      <c r="B56" s="610"/>
      <c r="C56" s="610"/>
      <c r="D56" s="610"/>
      <c r="E56" s="611" t="str">
        <f>County</f>
        <v>Fresno</v>
      </c>
      <c r="F56" s="611"/>
      <c r="G56" s="611"/>
      <c r="H56" s="611"/>
    </row>
  </sheetData>
  <sheetProtection password="CB13" sheet="1" objects="1" scenarios="1"/>
  <mergeCells count="25">
    <mergeCell ref="A56:D56"/>
    <mergeCell ref="E56:H56"/>
    <mergeCell ref="A16:G16"/>
    <mergeCell ref="A17:G17"/>
    <mergeCell ref="A18:G18"/>
    <mergeCell ref="A19:B19"/>
    <mergeCell ref="C19:G19"/>
    <mergeCell ref="A20:B20"/>
    <mergeCell ref="C20:G20"/>
    <mergeCell ref="A21:B21"/>
    <mergeCell ref="C21:G21"/>
    <mergeCell ref="A22:B22"/>
    <mergeCell ref="C22:G22"/>
    <mergeCell ref="A14:G14"/>
    <mergeCell ref="A15:G15"/>
    <mergeCell ref="A10:G10"/>
    <mergeCell ref="A11:G11"/>
    <mergeCell ref="A1:J1"/>
    <mergeCell ref="A2:J4"/>
    <mergeCell ref="H6:J7"/>
    <mergeCell ref="A7:G7"/>
    <mergeCell ref="A8:G8"/>
    <mergeCell ref="A9:G9"/>
    <mergeCell ref="A12:G12"/>
    <mergeCell ref="A13:G13"/>
  </mergeCells>
  <phoneticPr fontId="2" type="noConversion"/>
  <dataValidations count="2">
    <dataValidation type="whole" allowBlank="1" showInputMessage="1" showErrorMessage="1" error="Enter whole number only." prompt="Enter estimated number of assessments that will be administered using YOBG funds." sqref="I8:I22" xr:uid="{00000000-0002-0000-0900-000000000000}">
      <formula1>0</formula1>
      <formula2>20000</formula2>
    </dataValidation>
    <dataValidation allowBlank="1" showInputMessage="1" showErrorMessage="1" prompt="Enter name of assessment instrument and provide estimate of number of times it will be administered using YOBG funds in the box to the right." sqref="C19:G22" xr:uid="{00000000-0002-0000-0900-000001000000}"/>
  </dataValidations>
  <printOptions horizontalCentered="1"/>
  <pageMargins left="0.5" right="0.5" top="0.5" bottom="0.5" header="0.5" footer="0.5"/>
  <pageSetup firstPageNumber="15" orientation="portrait" useFirstPageNumber="1" r:id="rId1"/>
  <headerFooter alignWithMargins="0">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J53"/>
  <sheetViews>
    <sheetView workbookViewId="0">
      <selection activeCell="A27" sqref="A27:J38"/>
    </sheetView>
  </sheetViews>
  <sheetFormatPr defaultRowHeight="13.2" x14ac:dyDescent="0.25"/>
  <sheetData>
    <row r="1" spans="1:10" ht="15.6" x14ac:dyDescent="0.3">
      <c r="A1" s="592" t="s">
        <v>190</v>
      </c>
      <c r="B1" s="593"/>
      <c r="C1" s="593"/>
      <c r="D1" s="593"/>
      <c r="E1" s="593"/>
      <c r="F1" s="593"/>
      <c r="G1" s="593"/>
      <c r="H1" s="593"/>
      <c r="I1" s="593"/>
      <c r="J1" s="594"/>
    </row>
    <row r="2" spans="1:10" x14ac:dyDescent="0.25">
      <c r="A2" s="634" t="s">
        <v>390</v>
      </c>
      <c r="B2" s="635"/>
      <c r="C2" s="635"/>
      <c r="D2" s="635"/>
      <c r="E2" s="635"/>
      <c r="F2" s="635"/>
      <c r="G2" s="635"/>
      <c r="H2" s="635"/>
      <c r="I2" s="635"/>
      <c r="J2" s="636"/>
    </row>
    <row r="3" spans="1:10" x14ac:dyDescent="0.25">
      <c r="A3" s="630" t="s">
        <v>391</v>
      </c>
      <c r="B3" s="631"/>
      <c r="C3" s="631"/>
      <c r="D3" s="631"/>
      <c r="E3" s="631"/>
      <c r="F3" s="631"/>
      <c r="G3" s="631"/>
      <c r="H3" s="631"/>
      <c r="I3" s="631"/>
      <c r="J3" s="632"/>
    </row>
    <row r="4" spans="1:10" x14ac:dyDescent="0.25">
      <c r="A4" s="630" t="s">
        <v>392</v>
      </c>
      <c r="B4" s="631"/>
      <c r="C4" s="631"/>
      <c r="D4" s="631"/>
      <c r="E4" s="631"/>
      <c r="F4" s="631"/>
      <c r="G4" s="631"/>
      <c r="H4" s="631"/>
      <c r="I4" s="631"/>
      <c r="J4" s="632"/>
    </row>
    <row r="5" spans="1:10" x14ac:dyDescent="0.25">
      <c r="A5" s="630" t="s">
        <v>393</v>
      </c>
      <c r="B5" s="631"/>
      <c r="C5" s="631"/>
      <c r="D5" s="631"/>
      <c r="E5" s="631"/>
      <c r="F5" s="631"/>
      <c r="G5" s="631"/>
      <c r="H5" s="631"/>
      <c r="I5" s="631"/>
      <c r="J5" s="632"/>
    </row>
    <row r="6" spans="1:10" x14ac:dyDescent="0.25">
      <c r="A6" s="633" t="s">
        <v>394</v>
      </c>
      <c r="B6" s="622"/>
      <c r="C6" s="622"/>
      <c r="D6" s="622"/>
      <c r="E6" s="622"/>
      <c r="F6" s="622"/>
      <c r="G6" s="622"/>
      <c r="H6" s="622"/>
      <c r="I6" s="622"/>
      <c r="J6" s="623"/>
    </row>
    <row r="7" spans="1:10" x14ac:dyDescent="0.25">
      <c r="A7" s="18" t="s">
        <v>395</v>
      </c>
      <c r="B7" s="19"/>
      <c r="C7" s="19"/>
      <c r="D7" s="19"/>
      <c r="E7" s="19"/>
      <c r="F7" s="19"/>
      <c r="G7" s="19"/>
      <c r="H7" s="35"/>
      <c r="I7" s="19"/>
      <c r="J7" s="20"/>
    </row>
    <row r="8" spans="1:10" x14ac:dyDescent="0.25">
      <c r="A8" s="618" t="s">
        <v>396</v>
      </c>
      <c r="B8" s="619"/>
      <c r="C8" s="619"/>
      <c r="D8" s="619"/>
      <c r="E8" s="619"/>
      <c r="F8" s="619"/>
      <c r="G8" s="619"/>
      <c r="H8" s="619"/>
      <c r="I8" s="619"/>
      <c r="J8" s="620"/>
    </row>
    <row r="9" spans="1:10" x14ac:dyDescent="0.25">
      <c r="A9" s="621" t="s">
        <v>196</v>
      </c>
      <c r="B9" s="622"/>
      <c r="C9" s="622"/>
      <c r="D9" s="622"/>
      <c r="E9" s="622"/>
      <c r="F9" s="622"/>
      <c r="G9" s="622"/>
      <c r="H9" s="622"/>
      <c r="I9" s="622"/>
      <c r="J9" s="623"/>
    </row>
    <row r="10" spans="1:10" x14ac:dyDescent="0.25">
      <c r="A10" s="629"/>
      <c r="B10" s="301"/>
      <c r="C10" s="301"/>
      <c r="D10" s="301"/>
      <c r="E10" s="301"/>
      <c r="F10" s="301"/>
      <c r="G10" s="301"/>
      <c r="H10" s="301"/>
      <c r="I10" s="301"/>
      <c r="J10" s="302"/>
    </row>
    <row r="11" spans="1:10" x14ac:dyDescent="0.25">
      <c r="A11" s="303"/>
      <c r="B11" s="304"/>
      <c r="C11" s="304"/>
      <c r="D11" s="304"/>
      <c r="E11" s="304"/>
      <c r="F11" s="304"/>
      <c r="G11" s="304"/>
      <c r="H11" s="304"/>
      <c r="I11" s="304"/>
      <c r="J11" s="305"/>
    </row>
    <row r="12" spans="1:10" x14ac:dyDescent="0.25">
      <c r="A12" s="303"/>
      <c r="B12" s="304"/>
      <c r="C12" s="304"/>
      <c r="D12" s="304"/>
      <c r="E12" s="304"/>
      <c r="F12" s="304"/>
      <c r="G12" s="304"/>
      <c r="H12" s="304"/>
      <c r="I12" s="304"/>
      <c r="J12" s="305"/>
    </row>
    <row r="13" spans="1:10" x14ac:dyDescent="0.25">
      <c r="A13" s="303"/>
      <c r="B13" s="304"/>
      <c r="C13" s="304"/>
      <c r="D13" s="304"/>
      <c r="E13" s="304"/>
      <c r="F13" s="304"/>
      <c r="G13" s="304"/>
      <c r="H13" s="304"/>
      <c r="I13" s="304"/>
      <c r="J13" s="305"/>
    </row>
    <row r="14" spans="1:10" x14ac:dyDescent="0.25">
      <c r="A14" s="303"/>
      <c r="B14" s="304"/>
      <c r="C14" s="304"/>
      <c r="D14" s="304"/>
      <c r="E14" s="304"/>
      <c r="F14" s="304"/>
      <c r="G14" s="304"/>
      <c r="H14" s="304"/>
      <c r="I14" s="304"/>
      <c r="J14" s="305"/>
    </row>
    <row r="15" spans="1:10" x14ac:dyDescent="0.25">
      <c r="A15" s="303"/>
      <c r="B15" s="304"/>
      <c r="C15" s="304"/>
      <c r="D15" s="304"/>
      <c r="E15" s="304"/>
      <c r="F15" s="304"/>
      <c r="G15" s="304"/>
      <c r="H15" s="304"/>
      <c r="I15" s="304"/>
      <c r="J15" s="305"/>
    </row>
    <row r="16" spans="1:10" x14ac:dyDescent="0.25">
      <c r="A16" s="303"/>
      <c r="B16" s="304"/>
      <c r="C16" s="304"/>
      <c r="D16" s="304"/>
      <c r="E16" s="304"/>
      <c r="F16" s="304"/>
      <c r="G16" s="304"/>
      <c r="H16" s="304"/>
      <c r="I16" s="304"/>
      <c r="J16" s="305"/>
    </row>
    <row r="17" spans="1:10" x14ac:dyDescent="0.25">
      <c r="A17" s="303"/>
      <c r="B17" s="304"/>
      <c r="C17" s="304"/>
      <c r="D17" s="304"/>
      <c r="E17" s="304"/>
      <c r="F17" s="304"/>
      <c r="G17" s="304"/>
      <c r="H17" s="304"/>
      <c r="I17" s="304"/>
      <c r="J17" s="305"/>
    </row>
    <row r="18" spans="1:10" x14ac:dyDescent="0.25">
      <c r="A18" s="303"/>
      <c r="B18" s="304"/>
      <c r="C18" s="304"/>
      <c r="D18" s="304"/>
      <c r="E18" s="304"/>
      <c r="F18" s="304"/>
      <c r="G18" s="304"/>
      <c r="H18" s="304"/>
      <c r="I18" s="304"/>
      <c r="J18" s="305"/>
    </row>
    <row r="19" spans="1:10" x14ac:dyDescent="0.25">
      <c r="A19" s="303"/>
      <c r="B19" s="304"/>
      <c r="C19" s="304"/>
      <c r="D19" s="304"/>
      <c r="E19" s="304"/>
      <c r="F19" s="304"/>
      <c r="G19" s="304"/>
      <c r="H19" s="304"/>
      <c r="I19" s="304"/>
      <c r="J19" s="305"/>
    </row>
    <row r="20" spans="1:10" x14ac:dyDescent="0.25">
      <c r="A20" s="303"/>
      <c r="B20" s="304"/>
      <c r="C20" s="304"/>
      <c r="D20" s="304"/>
      <c r="E20" s="304"/>
      <c r="F20" s="304"/>
      <c r="G20" s="304"/>
      <c r="H20" s="304"/>
      <c r="I20" s="304"/>
      <c r="J20" s="305"/>
    </row>
    <row r="21" spans="1:10" x14ac:dyDescent="0.25">
      <c r="A21" s="303"/>
      <c r="B21" s="304"/>
      <c r="C21" s="304"/>
      <c r="D21" s="304"/>
      <c r="E21" s="304"/>
      <c r="F21" s="304"/>
      <c r="G21" s="304"/>
      <c r="H21" s="304"/>
      <c r="I21" s="304"/>
      <c r="J21" s="305"/>
    </row>
    <row r="22" spans="1:10" x14ac:dyDescent="0.25">
      <c r="A22" s="303"/>
      <c r="B22" s="304"/>
      <c r="C22" s="304"/>
      <c r="D22" s="304"/>
      <c r="E22" s="304"/>
      <c r="F22" s="304"/>
      <c r="G22" s="304"/>
      <c r="H22" s="304"/>
      <c r="I22" s="304"/>
      <c r="J22" s="305"/>
    </row>
    <row r="23" spans="1:10" x14ac:dyDescent="0.25">
      <c r="A23" s="303"/>
      <c r="B23" s="304"/>
      <c r="C23" s="304"/>
      <c r="D23" s="304"/>
      <c r="E23" s="304"/>
      <c r="F23" s="304"/>
      <c r="G23" s="304"/>
      <c r="H23" s="304"/>
      <c r="I23" s="304"/>
      <c r="J23" s="305"/>
    </row>
    <row r="24" spans="1:10" x14ac:dyDescent="0.25">
      <c r="A24" s="303"/>
      <c r="B24" s="304"/>
      <c r="C24" s="304"/>
      <c r="D24" s="304"/>
      <c r="E24" s="304"/>
      <c r="F24" s="304"/>
      <c r="G24" s="304"/>
      <c r="H24" s="304"/>
      <c r="I24" s="304"/>
      <c r="J24" s="305"/>
    </row>
    <row r="25" spans="1:10" x14ac:dyDescent="0.25">
      <c r="A25" s="306"/>
      <c r="B25" s="307"/>
      <c r="C25" s="307"/>
      <c r="D25" s="307"/>
      <c r="E25" s="307"/>
      <c r="F25" s="307"/>
      <c r="G25" s="307"/>
      <c r="H25" s="307"/>
      <c r="I25" s="307"/>
      <c r="J25" s="308"/>
    </row>
    <row r="26" spans="1:10" x14ac:dyDescent="0.25">
      <c r="A26" s="28" t="s">
        <v>191</v>
      </c>
      <c r="B26" s="29"/>
      <c r="C26" s="29"/>
      <c r="D26" s="29"/>
      <c r="E26" s="29"/>
      <c r="F26" s="29"/>
      <c r="G26" s="29"/>
      <c r="H26" s="29"/>
      <c r="I26" s="29"/>
      <c r="J26" s="30"/>
    </row>
    <row r="27" spans="1:10" x14ac:dyDescent="0.25">
      <c r="A27" s="629"/>
      <c r="B27" s="301"/>
      <c r="C27" s="301"/>
      <c r="D27" s="301"/>
      <c r="E27" s="301"/>
      <c r="F27" s="301"/>
      <c r="G27" s="301"/>
      <c r="H27" s="301"/>
      <c r="I27" s="301"/>
      <c r="J27" s="302"/>
    </row>
    <row r="28" spans="1:10" x14ac:dyDescent="0.25">
      <c r="A28" s="303"/>
      <c r="B28" s="304"/>
      <c r="C28" s="304"/>
      <c r="D28" s="304"/>
      <c r="E28" s="304"/>
      <c r="F28" s="304"/>
      <c r="G28" s="304"/>
      <c r="H28" s="304"/>
      <c r="I28" s="304"/>
      <c r="J28" s="305"/>
    </row>
    <row r="29" spans="1:10" x14ac:dyDescent="0.25">
      <c r="A29" s="303"/>
      <c r="B29" s="304"/>
      <c r="C29" s="304"/>
      <c r="D29" s="304"/>
      <c r="E29" s="304"/>
      <c r="F29" s="304"/>
      <c r="G29" s="304"/>
      <c r="H29" s="304"/>
      <c r="I29" s="304"/>
      <c r="J29" s="305"/>
    </row>
    <row r="30" spans="1:10" x14ac:dyDescent="0.25">
      <c r="A30" s="303"/>
      <c r="B30" s="304"/>
      <c r="C30" s="304"/>
      <c r="D30" s="304"/>
      <c r="E30" s="304"/>
      <c r="F30" s="304"/>
      <c r="G30" s="304"/>
      <c r="H30" s="304"/>
      <c r="I30" s="304"/>
      <c r="J30" s="305"/>
    </row>
    <row r="31" spans="1:10" x14ac:dyDescent="0.25">
      <c r="A31" s="303"/>
      <c r="B31" s="304"/>
      <c r="C31" s="304"/>
      <c r="D31" s="304"/>
      <c r="E31" s="304"/>
      <c r="F31" s="304"/>
      <c r="G31" s="304"/>
      <c r="H31" s="304"/>
      <c r="I31" s="304"/>
      <c r="J31" s="305"/>
    </row>
    <row r="32" spans="1:10" x14ac:dyDescent="0.25">
      <c r="A32" s="303"/>
      <c r="B32" s="304"/>
      <c r="C32" s="304"/>
      <c r="D32" s="304"/>
      <c r="E32" s="304"/>
      <c r="F32" s="304"/>
      <c r="G32" s="304"/>
      <c r="H32" s="304"/>
      <c r="I32" s="304"/>
      <c r="J32" s="305"/>
    </row>
    <row r="33" spans="1:10" x14ac:dyDescent="0.25">
      <c r="A33" s="303"/>
      <c r="B33" s="304"/>
      <c r="C33" s="304"/>
      <c r="D33" s="304"/>
      <c r="E33" s="304"/>
      <c r="F33" s="304"/>
      <c r="G33" s="304"/>
      <c r="H33" s="304"/>
      <c r="I33" s="304"/>
      <c r="J33" s="305"/>
    </row>
    <row r="34" spans="1:10" x14ac:dyDescent="0.25">
      <c r="A34" s="303"/>
      <c r="B34" s="304"/>
      <c r="C34" s="304"/>
      <c r="D34" s="304"/>
      <c r="E34" s="304"/>
      <c r="F34" s="304"/>
      <c r="G34" s="304"/>
      <c r="H34" s="304"/>
      <c r="I34" s="304"/>
      <c r="J34" s="305"/>
    </row>
    <row r="35" spans="1:10" x14ac:dyDescent="0.25">
      <c r="A35" s="303"/>
      <c r="B35" s="304"/>
      <c r="C35" s="304"/>
      <c r="D35" s="304"/>
      <c r="E35" s="304"/>
      <c r="F35" s="304"/>
      <c r="G35" s="304"/>
      <c r="H35" s="304"/>
      <c r="I35" s="304"/>
      <c r="J35" s="305"/>
    </row>
    <row r="36" spans="1:10" x14ac:dyDescent="0.25">
      <c r="A36" s="303"/>
      <c r="B36" s="304"/>
      <c r="C36" s="304"/>
      <c r="D36" s="304"/>
      <c r="E36" s="304"/>
      <c r="F36" s="304"/>
      <c r="G36" s="304"/>
      <c r="H36" s="304"/>
      <c r="I36" s="304"/>
      <c r="J36" s="305"/>
    </row>
    <row r="37" spans="1:10" x14ac:dyDescent="0.25">
      <c r="A37" s="303"/>
      <c r="B37" s="304"/>
      <c r="C37" s="304"/>
      <c r="D37" s="304"/>
      <c r="E37" s="304"/>
      <c r="F37" s="304"/>
      <c r="G37" s="304"/>
      <c r="H37" s="304"/>
      <c r="I37" s="304"/>
      <c r="J37" s="305"/>
    </row>
    <row r="38" spans="1:10" x14ac:dyDescent="0.25">
      <c r="A38" s="306"/>
      <c r="B38" s="307"/>
      <c r="C38" s="307"/>
      <c r="D38" s="307"/>
      <c r="E38" s="307"/>
      <c r="F38" s="307"/>
      <c r="G38" s="307"/>
      <c r="H38" s="307"/>
      <c r="I38" s="307"/>
      <c r="J38" s="308"/>
    </row>
    <row r="39" spans="1:10" x14ac:dyDescent="0.25">
      <c r="A39" s="624" t="s">
        <v>327</v>
      </c>
      <c r="B39" s="625"/>
      <c r="C39" s="625"/>
      <c r="D39" s="625"/>
      <c r="E39" s="625"/>
      <c r="F39" s="625"/>
      <c r="G39" s="625"/>
      <c r="H39" s="625"/>
      <c r="I39" s="625"/>
      <c r="J39" s="626"/>
    </row>
    <row r="40" spans="1:10" x14ac:dyDescent="0.25">
      <c r="A40" s="621" t="s">
        <v>321</v>
      </c>
      <c r="B40" s="627"/>
      <c r="C40" s="627"/>
      <c r="D40" s="627"/>
      <c r="E40" s="627"/>
      <c r="F40" s="627"/>
      <c r="G40" s="627"/>
      <c r="H40" s="627"/>
      <c r="I40" s="627"/>
      <c r="J40" s="628"/>
    </row>
    <row r="41" spans="1:10" x14ac:dyDescent="0.25">
      <c r="A41" s="629"/>
      <c r="B41" s="301"/>
      <c r="C41" s="301"/>
      <c r="D41" s="301"/>
      <c r="E41" s="301"/>
      <c r="F41" s="301"/>
      <c r="G41" s="301"/>
      <c r="H41" s="301"/>
      <c r="I41" s="301"/>
      <c r="J41" s="302"/>
    </row>
    <row r="42" spans="1:10" x14ac:dyDescent="0.25">
      <c r="A42" s="303"/>
      <c r="B42" s="304"/>
      <c r="C42" s="304"/>
      <c r="D42" s="304"/>
      <c r="E42" s="304"/>
      <c r="F42" s="304"/>
      <c r="G42" s="304"/>
      <c r="H42" s="304"/>
      <c r="I42" s="304"/>
      <c r="J42" s="305"/>
    </row>
    <row r="43" spans="1:10" x14ac:dyDescent="0.25">
      <c r="A43" s="303"/>
      <c r="B43" s="304"/>
      <c r="C43" s="304"/>
      <c r="D43" s="304"/>
      <c r="E43" s="304"/>
      <c r="F43" s="304"/>
      <c r="G43" s="304"/>
      <c r="H43" s="304"/>
      <c r="I43" s="304"/>
      <c r="J43" s="305"/>
    </row>
    <row r="44" spans="1:10" x14ac:dyDescent="0.25">
      <c r="A44" s="303"/>
      <c r="B44" s="304"/>
      <c r="C44" s="304"/>
      <c r="D44" s="304"/>
      <c r="E44" s="304"/>
      <c r="F44" s="304"/>
      <c r="G44" s="304"/>
      <c r="H44" s="304"/>
      <c r="I44" s="304"/>
      <c r="J44" s="305"/>
    </row>
    <row r="45" spans="1:10" x14ac:dyDescent="0.25">
      <c r="A45" s="303"/>
      <c r="B45" s="304"/>
      <c r="C45" s="304"/>
      <c r="D45" s="304"/>
      <c r="E45" s="304"/>
      <c r="F45" s="304"/>
      <c r="G45" s="304"/>
      <c r="H45" s="304"/>
      <c r="I45" s="304"/>
      <c r="J45" s="305"/>
    </row>
    <row r="46" spans="1:10" x14ac:dyDescent="0.25">
      <c r="A46" s="303"/>
      <c r="B46" s="304"/>
      <c r="C46" s="304"/>
      <c r="D46" s="304"/>
      <c r="E46" s="304"/>
      <c r="F46" s="304"/>
      <c r="G46" s="304"/>
      <c r="H46" s="304"/>
      <c r="I46" s="304"/>
      <c r="J46" s="305"/>
    </row>
    <row r="47" spans="1:10" x14ac:dyDescent="0.25">
      <c r="A47" s="303"/>
      <c r="B47" s="304"/>
      <c r="C47" s="304"/>
      <c r="D47" s="304"/>
      <c r="E47" s="304"/>
      <c r="F47" s="304"/>
      <c r="G47" s="304"/>
      <c r="H47" s="304"/>
      <c r="I47" s="304"/>
      <c r="J47" s="305"/>
    </row>
    <row r="48" spans="1:10" x14ac:dyDescent="0.25">
      <c r="A48" s="303"/>
      <c r="B48" s="304"/>
      <c r="C48" s="304"/>
      <c r="D48" s="304"/>
      <c r="E48" s="304"/>
      <c r="F48" s="304"/>
      <c r="G48" s="304"/>
      <c r="H48" s="304"/>
      <c r="I48" s="304"/>
      <c r="J48" s="305"/>
    </row>
    <row r="49" spans="1:10" x14ac:dyDescent="0.25">
      <c r="A49" s="303"/>
      <c r="B49" s="304"/>
      <c r="C49" s="304"/>
      <c r="D49" s="304"/>
      <c r="E49" s="304"/>
      <c r="F49" s="304"/>
      <c r="G49" s="304"/>
      <c r="H49" s="304"/>
      <c r="I49" s="304"/>
      <c r="J49" s="305"/>
    </row>
    <row r="50" spans="1:10" x14ac:dyDescent="0.25">
      <c r="A50" s="303"/>
      <c r="B50" s="304"/>
      <c r="C50" s="304"/>
      <c r="D50" s="304"/>
      <c r="E50" s="304"/>
      <c r="F50" s="304"/>
      <c r="G50" s="304"/>
      <c r="H50" s="304"/>
      <c r="I50" s="304"/>
      <c r="J50" s="305"/>
    </row>
    <row r="51" spans="1:10" x14ac:dyDescent="0.25">
      <c r="A51" s="303"/>
      <c r="B51" s="304"/>
      <c r="C51" s="304"/>
      <c r="D51" s="304"/>
      <c r="E51" s="304"/>
      <c r="F51" s="304"/>
      <c r="G51" s="304"/>
      <c r="H51" s="304"/>
      <c r="I51" s="304"/>
      <c r="J51" s="305"/>
    </row>
    <row r="52" spans="1:10" x14ac:dyDescent="0.25">
      <c r="A52" s="306"/>
      <c r="B52" s="307"/>
      <c r="C52" s="307"/>
      <c r="D52" s="307"/>
      <c r="E52" s="307"/>
      <c r="F52" s="307"/>
      <c r="G52" s="307"/>
      <c r="H52" s="307"/>
      <c r="I52" s="307"/>
      <c r="J52" s="308"/>
    </row>
    <row r="53" spans="1:10" x14ac:dyDescent="0.25">
      <c r="A53" s="610" t="s">
        <v>325</v>
      </c>
      <c r="B53" s="610"/>
      <c r="C53" s="610"/>
      <c r="D53" s="610"/>
      <c r="E53" s="611" t="str">
        <f>County</f>
        <v>Fresno</v>
      </c>
      <c r="F53" s="611"/>
      <c r="G53" s="611"/>
      <c r="H53" s="611"/>
    </row>
  </sheetData>
  <sheetProtection password="CB13" sheet="1" objects="1" scenarios="1"/>
  <mergeCells count="15">
    <mergeCell ref="A5:J5"/>
    <mergeCell ref="A6:J6"/>
    <mergeCell ref="A1:J1"/>
    <mergeCell ref="A2:J2"/>
    <mergeCell ref="A3:J3"/>
    <mergeCell ref="A4:J4"/>
    <mergeCell ref="A53:D53"/>
    <mergeCell ref="A8:J8"/>
    <mergeCell ref="A9:J9"/>
    <mergeCell ref="A39:J39"/>
    <mergeCell ref="A40:J40"/>
    <mergeCell ref="A41:J52"/>
    <mergeCell ref="E53:H53"/>
    <mergeCell ref="A27:J38"/>
    <mergeCell ref="A10:J25"/>
  </mergeCells>
  <phoneticPr fontId="2" type="noConversion"/>
  <dataValidations count="3">
    <dataValidation allowBlank="1" showInputMessage="1" showErrorMessage="1" prompt="Double click on the box to enter/edit your response.  Do not exceed the space provided (as indicated by narrative that no longer appears when you click outside the box).  It will not be possible to format your response in more than one paragraph." sqref="A10:J25 A27:J38" xr:uid="{00000000-0002-0000-0A00-000000000000}"/>
    <dataValidation allowBlank="1" showInputMessage="1" showErrorMessage="1" prompt="Double click on the box to enter/edit your response.  Do not exceed the space provided.  You will not be able to format your response in more than one paragraph.  Skip this item if you responded &quot;Yes&quot; to item #1." sqref="A41:J52" xr:uid="{00000000-0002-0000-0A00-000001000000}"/>
    <dataValidation type="list" allowBlank="1" showInputMessage="1" showErrorMessage="1" prompt="If your response is &quot;No,&quot; skip to item 4." sqref="H7" xr:uid="{00000000-0002-0000-0A00-000002000000}">
      <formula1>YESNO</formula1>
    </dataValidation>
  </dataValidations>
  <printOptions horizontalCentered="1"/>
  <pageMargins left="0.5" right="0.5" top="0.5" bottom="0.5" header="0.5" footer="0.25"/>
  <pageSetup firstPageNumber="16" orientation="portrait" useFirstPageNumber="1" horizontalDpi="300" verticalDpi="300" r:id="rId1"/>
  <headerFooter alignWithMargins="0">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1"/>
  <dimension ref="A1:J57"/>
  <sheetViews>
    <sheetView workbookViewId="0">
      <selection activeCell="K50" sqref="K50"/>
    </sheetView>
  </sheetViews>
  <sheetFormatPr defaultRowHeight="13.2" x14ac:dyDescent="0.25"/>
  <sheetData>
    <row r="1" spans="1:10" ht="15.6" x14ac:dyDescent="0.3">
      <c r="A1" s="592" t="s">
        <v>285</v>
      </c>
      <c r="B1" s="593"/>
      <c r="C1" s="593"/>
      <c r="D1" s="593"/>
      <c r="E1" s="593"/>
      <c r="F1" s="593"/>
      <c r="G1" s="593"/>
      <c r="H1" s="593"/>
      <c r="I1" s="593"/>
      <c r="J1" s="594"/>
    </row>
    <row r="2" spans="1:10" x14ac:dyDescent="0.25">
      <c r="A2" s="634" t="s">
        <v>397</v>
      </c>
      <c r="B2" s="635"/>
      <c r="C2" s="635"/>
      <c r="D2" s="635"/>
      <c r="E2" s="635"/>
      <c r="F2" s="635"/>
      <c r="G2" s="635"/>
      <c r="H2" s="635"/>
      <c r="I2" s="635"/>
      <c r="J2" s="636"/>
    </row>
    <row r="3" spans="1:10" x14ac:dyDescent="0.25">
      <c r="A3" s="630" t="s">
        <v>398</v>
      </c>
      <c r="B3" s="631"/>
      <c r="C3" s="631"/>
      <c r="D3" s="631"/>
      <c r="E3" s="631"/>
      <c r="F3" s="631"/>
      <c r="G3" s="631"/>
      <c r="H3" s="631"/>
      <c r="I3" s="631"/>
      <c r="J3" s="632"/>
    </row>
    <row r="4" spans="1:10" x14ac:dyDescent="0.25">
      <c r="A4" s="630" t="s">
        <v>399</v>
      </c>
      <c r="B4" s="631"/>
      <c r="C4" s="631"/>
      <c r="D4" s="631"/>
      <c r="E4" s="631"/>
      <c r="F4" s="631"/>
      <c r="G4" s="631"/>
      <c r="H4" s="631"/>
      <c r="I4" s="631"/>
      <c r="J4" s="632"/>
    </row>
    <row r="5" spans="1:10" x14ac:dyDescent="0.25">
      <c r="A5" s="630" t="s">
        <v>400</v>
      </c>
      <c r="B5" s="631"/>
      <c r="C5" s="631"/>
      <c r="D5" s="631"/>
      <c r="E5" s="631"/>
      <c r="F5" s="631"/>
      <c r="G5" s="631"/>
      <c r="H5" s="631"/>
      <c r="I5" s="631"/>
      <c r="J5" s="632"/>
    </row>
    <row r="6" spans="1:10" x14ac:dyDescent="0.25">
      <c r="A6" s="26" t="s">
        <v>401</v>
      </c>
      <c r="B6" s="27"/>
      <c r="C6" s="27"/>
      <c r="D6" s="27"/>
      <c r="E6" s="27"/>
      <c r="F6" s="27"/>
      <c r="G6" s="27"/>
      <c r="H6" s="27"/>
      <c r="I6" s="36"/>
      <c r="J6" s="20"/>
    </row>
    <row r="7" spans="1:10" x14ac:dyDescent="0.25">
      <c r="A7" s="21" t="s">
        <v>402</v>
      </c>
      <c r="B7" s="16"/>
      <c r="C7" s="16"/>
      <c r="D7" s="16"/>
      <c r="E7" s="16"/>
      <c r="F7" s="16"/>
      <c r="G7" s="16"/>
      <c r="H7" s="16"/>
      <c r="I7" s="37"/>
      <c r="J7" s="17"/>
    </row>
    <row r="8" spans="1:10" x14ac:dyDescent="0.25">
      <c r="A8" s="641" t="s">
        <v>194</v>
      </c>
      <c r="B8" s="622"/>
      <c r="C8" s="622"/>
      <c r="D8" s="622"/>
      <c r="E8" s="622"/>
      <c r="F8" s="622"/>
      <c r="G8" s="622"/>
      <c r="H8" s="622"/>
      <c r="I8" s="622"/>
      <c r="J8" s="623"/>
    </row>
    <row r="9" spans="1:10" x14ac:dyDescent="0.25">
      <c r="A9" s="629"/>
      <c r="B9" s="301"/>
      <c r="C9" s="301"/>
      <c r="D9" s="301"/>
      <c r="E9" s="301"/>
      <c r="F9" s="301"/>
      <c r="G9" s="301"/>
      <c r="H9" s="301"/>
      <c r="I9" s="301"/>
      <c r="J9" s="302"/>
    </row>
    <row r="10" spans="1:10" x14ac:dyDescent="0.25">
      <c r="A10" s="303"/>
      <c r="B10" s="304"/>
      <c r="C10" s="304"/>
      <c r="D10" s="304"/>
      <c r="E10" s="304"/>
      <c r="F10" s="304"/>
      <c r="G10" s="304"/>
      <c r="H10" s="304"/>
      <c r="I10" s="304"/>
      <c r="J10" s="305"/>
    </row>
    <row r="11" spans="1:10" x14ac:dyDescent="0.25">
      <c r="A11" s="303"/>
      <c r="B11" s="304"/>
      <c r="C11" s="304"/>
      <c r="D11" s="304"/>
      <c r="E11" s="304"/>
      <c r="F11" s="304"/>
      <c r="G11" s="304"/>
      <c r="H11" s="304"/>
      <c r="I11" s="304"/>
      <c r="J11" s="305"/>
    </row>
    <row r="12" spans="1:10" x14ac:dyDescent="0.25">
      <c r="A12" s="303"/>
      <c r="B12" s="304"/>
      <c r="C12" s="304"/>
      <c r="D12" s="304"/>
      <c r="E12" s="304"/>
      <c r="F12" s="304"/>
      <c r="G12" s="304"/>
      <c r="H12" s="304"/>
      <c r="I12" s="304"/>
      <c r="J12" s="305"/>
    </row>
    <row r="13" spans="1:10" x14ac:dyDescent="0.25">
      <c r="A13" s="303"/>
      <c r="B13" s="304"/>
      <c r="C13" s="304"/>
      <c r="D13" s="304"/>
      <c r="E13" s="304"/>
      <c r="F13" s="304"/>
      <c r="G13" s="304"/>
      <c r="H13" s="304"/>
      <c r="I13" s="304"/>
      <c r="J13" s="305"/>
    </row>
    <row r="14" spans="1:10" x14ac:dyDescent="0.25">
      <c r="A14" s="303"/>
      <c r="B14" s="304"/>
      <c r="C14" s="304"/>
      <c r="D14" s="304"/>
      <c r="E14" s="304"/>
      <c r="F14" s="304"/>
      <c r="G14" s="304"/>
      <c r="H14" s="304"/>
      <c r="I14" s="304"/>
      <c r="J14" s="305"/>
    </row>
    <row r="15" spans="1:10" x14ac:dyDescent="0.25">
      <c r="A15" s="303"/>
      <c r="B15" s="304"/>
      <c r="C15" s="304"/>
      <c r="D15" s="304"/>
      <c r="E15" s="304"/>
      <c r="F15" s="304"/>
      <c r="G15" s="304"/>
      <c r="H15" s="304"/>
      <c r="I15" s="304"/>
      <c r="J15" s="305"/>
    </row>
    <row r="16" spans="1:10" x14ac:dyDescent="0.25">
      <c r="A16" s="303"/>
      <c r="B16" s="304"/>
      <c r="C16" s="304"/>
      <c r="D16" s="304"/>
      <c r="E16" s="304"/>
      <c r="F16" s="304"/>
      <c r="G16" s="304"/>
      <c r="H16" s="304"/>
      <c r="I16" s="304"/>
      <c r="J16" s="305"/>
    </row>
    <row r="17" spans="1:10" x14ac:dyDescent="0.25">
      <c r="A17" s="303"/>
      <c r="B17" s="304"/>
      <c r="C17" s="304"/>
      <c r="D17" s="304"/>
      <c r="E17" s="304"/>
      <c r="F17" s="304"/>
      <c r="G17" s="304"/>
      <c r="H17" s="304"/>
      <c r="I17" s="304"/>
      <c r="J17" s="305"/>
    </row>
    <row r="18" spans="1:10" x14ac:dyDescent="0.25">
      <c r="A18" s="303"/>
      <c r="B18" s="304"/>
      <c r="C18" s="304"/>
      <c r="D18" s="304"/>
      <c r="E18" s="304"/>
      <c r="F18" s="304"/>
      <c r="G18" s="304"/>
      <c r="H18" s="304"/>
      <c r="I18" s="304"/>
      <c r="J18" s="305"/>
    </row>
    <row r="19" spans="1:10" x14ac:dyDescent="0.25">
      <c r="A19" s="303"/>
      <c r="B19" s="304"/>
      <c r="C19" s="304"/>
      <c r="D19" s="304"/>
      <c r="E19" s="304"/>
      <c r="F19" s="304"/>
      <c r="G19" s="304"/>
      <c r="H19" s="304"/>
      <c r="I19" s="304"/>
      <c r="J19" s="305"/>
    </row>
    <row r="20" spans="1:10" x14ac:dyDescent="0.25">
      <c r="A20" s="303"/>
      <c r="B20" s="304"/>
      <c r="C20" s="304"/>
      <c r="D20" s="304"/>
      <c r="E20" s="304"/>
      <c r="F20" s="304"/>
      <c r="G20" s="304"/>
      <c r="H20" s="304"/>
      <c r="I20" s="304"/>
      <c r="J20" s="305"/>
    </row>
    <row r="21" spans="1:10" x14ac:dyDescent="0.25">
      <c r="A21" s="303"/>
      <c r="B21" s="304"/>
      <c r="C21" s="304"/>
      <c r="D21" s="304"/>
      <c r="E21" s="304"/>
      <c r="F21" s="304"/>
      <c r="G21" s="304"/>
      <c r="H21" s="304"/>
      <c r="I21" s="304"/>
      <c r="J21" s="305"/>
    </row>
    <row r="22" spans="1:10" x14ac:dyDescent="0.25">
      <c r="A22" s="303"/>
      <c r="B22" s="304"/>
      <c r="C22" s="304"/>
      <c r="D22" s="304"/>
      <c r="E22" s="304"/>
      <c r="F22" s="304"/>
      <c r="G22" s="304"/>
      <c r="H22" s="304"/>
      <c r="I22" s="304"/>
      <c r="J22" s="305"/>
    </row>
    <row r="23" spans="1:10" x14ac:dyDescent="0.25">
      <c r="A23" s="303"/>
      <c r="B23" s="304"/>
      <c r="C23" s="304"/>
      <c r="D23" s="304"/>
      <c r="E23" s="304"/>
      <c r="F23" s="304"/>
      <c r="G23" s="304"/>
      <c r="H23" s="304"/>
      <c r="I23" s="304"/>
      <c r="J23" s="305"/>
    </row>
    <row r="24" spans="1:10" x14ac:dyDescent="0.25">
      <c r="A24" s="306"/>
      <c r="B24" s="307"/>
      <c r="C24" s="307"/>
      <c r="D24" s="307"/>
      <c r="E24" s="307"/>
      <c r="F24" s="307"/>
      <c r="G24" s="307"/>
      <c r="H24" s="307"/>
      <c r="I24" s="307"/>
      <c r="J24" s="308"/>
    </row>
    <row r="25" spans="1:10" ht="15.6" x14ac:dyDescent="0.3">
      <c r="A25" s="637" t="s">
        <v>213</v>
      </c>
      <c r="B25" s="638"/>
      <c r="C25" s="638"/>
      <c r="D25" s="639"/>
      <c r="E25" s="637"/>
      <c r="F25" s="639"/>
      <c r="G25" s="637"/>
      <c r="H25" s="638"/>
      <c r="I25" s="638"/>
      <c r="J25" s="639"/>
    </row>
    <row r="26" spans="1:10" x14ac:dyDescent="0.25">
      <c r="A26" s="642" t="s">
        <v>195</v>
      </c>
      <c r="B26" s="643"/>
      <c r="C26" s="643"/>
      <c r="D26" s="643"/>
      <c r="E26" s="643"/>
      <c r="F26" s="643"/>
      <c r="G26" s="643"/>
      <c r="H26" s="643"/>
      <c r="I26" s="643"/>
      <c r="J26" s="644"/>
    </row>
    <row r="27" spans="1:10" x14ac:dyDescent="0.25">
      <c r="A27" s="645"/>
      <c r="B27" s="646"/>
      <c r="C27" s="646"/>
      <c r="D27" s="646"/>
      <c r="E27" s="646"/>
      <c r="F27" s="646"/>
      <c r="G27" s="646"/>
      <c r="H27" s="646"/>
      <c r="I27" s="646"/>
      <c r="J27" s="647"/>
    </row>
    <row r="28" spans="1:10" x14ac:dyDescent="0.25">
      <c r="A28" s="648"/>
      <c r="B28" s="649"/>
      <c r="C28" s="649"/>
      <c r="D28" s="649"/>
      <c r="E28" s="649"/>
      <c r="F28" s="649"/>
      <c r="G28" s="649"/>
      <c r="H28" s="649"/>
      <c r="I28" s="649"/>
      <c r="J28" s="650"/>
    </row>
    <row r="29" spans="1:10" x14ac:dyDescent="0.25">
      <c r="A29" s="629"/>
      <c r="B29" s="301"/>
      <c r="C29" s="301"/>
      <c r="D29" s="301"/>
      <c r="E29" s="301"/>
      <c r="F29" s="301"/>
      <c r="G29" s="301"/>
      <c r="H29" s="301"/>
      <c r="I29" s="301"/>
      <c r="J29" s="302"/>
    </row>
    <row r="30" spans="1:10" x14ac:dyDescent="0.25">
      <c r="A30" s="303"/>
      <c r="B30" s="304"/>
      <c r="C30" s="304"/>
      <c r="D30" s="304"/>
      <c r="E30" s="304"/>
      <c r="F30" s="304"/>
      <c r="G30" s="304"/>
      <c r="H30" s="304"/>
      <c r="I30" s="304"/>
      <c r="J30" s="305"/>
    </row>
    <row r="31" spans="1:10" x14ac:dyDescent="0.25">
      <c r="A31" s="303"/>
      <c r="B31" s="304"/>
      <c r="C31" s="304"/>
      <c r="D31" s="304"/>
      <c r="E31" s="304"/>
      <c r="F31" s="304"/>
      <c r="G31" s="304"/>
      <c r="H31" s="304"/>
      <c r="I31" s="304"/>
      <c r="J31" s="305"/>
    </row>
    <row r="32" spans="1:10" x14ac:dyDescent="0.25">
      <c r="A32" s="303"/>
      <c r="B32" s="304"/>
      <c r="C32" s="304"/>
      <c r="D32" s="304"/>
      <c r="E32" s="304"/>
      <c r="F32" s="304"/>
      <c r="G32" s="304"/>
      <c r="H32" s="304"/>
      <c r="I32" s="304"/>
      <c r="J32" s="305"/>
    </row>
    <row r="33" spans="1:10" x14ac:dyDescent="0.25">
      <c r="A33" s="303"/>
      <c r="B33" s="304"/>
      <c r="C33" s="304"/>
      <c r="D33" s="304"/>
      <c r="E33" s="304"/>
      <c r="F33" s="304"/>
      <c r="G33" s="304"/>
      <c r="H33" s="304"/>
      <c r="I33" s="304"/>
      <c r="J33" s="305"/>
    </row>
    <row r="34" spans="1:10" x14ac:dyDescent="0.25">
      <c r="A34" s="303"/>
      <c r="B34" s="304"/>
      <c r="C34" s="304"/>
      <c r="D34" s="304"/>
      <c r="E34" s="304"/>
      <c r="F34" s="304"/>
      <c r="G34" s="304"/>
      <c r="H34" s="304"/>
      <c r="I34" s="304"/>
      <c r="J34" s="305"/>
    </row>
    <row r="35" spans="1:10" x14ac:dyDescent="0.25">
      <c r="A35" s="303"/>
      <c r="B35" s="304"/>
      <c r="C35" s="304"/>
      <c r="D35" s="304"/>
      <c r="E35" s="304"/>
      <c r="F35" s="304"/>
      <c r="G35" s="304"/>
      <c r="H35" s="304"/>
      <c r="I35" s="304"/>
      <c r="J35" s="305"/>
    </row>
    <row r="36" spans="1:10" x14ac:dyDescent="0.25">
      <c r="A36" s="303"/>
      <c r="B36" s="304"/>
      <c r="C36" s="304"/>
      <c r="D36" s="304"/>
      <c r="E36" s="304"/>
      <c r="F36" s="304"/>
      <c r="G36" s="304"/>
      <c r="H36" s="304"/>
      <c r="I36" s="304"/>
      <c r="J36" s="305"/>
    </row>
    <row r="37" spans="1:10" x14ac:dyDescent="0.25">
      <c r="A37" s="303"/>
      <c r="B37" s="304"/>
      <c r="C37" s="304"/>
      <c r="D37" s="304"/>
      <c r="E37" s="304"/>
      <c r="F37" s="304"/>
      <c r="G37" s="304"/>
      <c r="H37" s="304"/>
      <c r="I37" s="304"/>
      <c r="J37" s="305"/>
    </row>
    <row r="38" spans="1:10" x14ac:dyDescent="0.25">
      <c r="A38" s="303"/>
      <c r="B38" s="304"/>
      <c r="C38" s="304"/>
      <c r="D38" s="304"/>
      <c r="E38" s="304"/>
      <c r="F38" s="304"/>
      <c r="G38" s="304"/>
      <c r="H38" s="304"/>
      <c r="I38" s="304"/>
      <c r="J38" s="305"/>
    </row>
    <row r="39" spans="1:10" x14ac:dyDescent="0.25">
      <c r="A39" s="303"/>
      <c r="B39" s="304"/>
      <c r="C39" s="304"/>
      <c r="D39" s="304"/>
      <c r="E39" s="304"/>
      <c r="F39" s="304"/>
      <c r="G39" s="304"/>
      <c r="H39" s="304"/>
      <c r="I39" s="304"/>
      <c r="J39" s="305"/>
    </row>
    <row r="40" spans="1:10" x14ac:dyDescent="0.25">
      <c r="A40" s="303"/>
      <c r="B40" s="304"/>
      <c r="C40" s="304"/>
      <c r="D40" s="304"/>
      <c r="E40" s="304"/>
      <c r="F40" s="304"/>
      <c r="G40" s="304"/>
      <c r="H40" s="304"/>
      <c r="I40" s="304"/>
      <c r="J40" s="305"/>
    </row>
    <row r="41" spans="1:10" x14ac:dyDescent="0.25">
      <c r="A41" s="303"/>
      <c r="B41" s="304"/>
      <c r="C41" s="304"/>
      <c r="D41" s="304"/>
      <c r="E41" s="304"/>
      <c r="F41" s="304"/>
      <c r="G41" s="304"/>
      <c r="H41" s="304"/>
      <c r="I41" s="304"/>
      <c r="J41" s="305"/>
    </row>
    <row r="42" spans="1:10" x14ac:dyDescent="0.25">
      <c r="A42" s="303"/>
      <c r="B42" s="304"/>
      <c r="C42" s="304"/>
      <c r="D42" s="304"/>
      <c r="E42" s="304"/>
      <c r="F42" s="304"/>
      <c r="G42" s="304"/>
      <c r="H42" s="304"/>
      <c r="I42" s="304"/>
      <c r="J42" s="305"/>
    </row>
    <row r="43" spans="1:10" x14ac:dyDescent="0.25">
      <c r="A43" s="306"/>
      <c r="B43" s="307"/>
      <c r="C43" s="307"/>
      <c r="D43" s="307"/>
      <c r="E43" s="307"/>
      <c r="F43" s="307"/>
      <c r="G43" s="307"/>
      <c r="H43" s="307"/>
      <c r="I43" s="307"/>
      <c r="J43" s="308"/>
    </row>
    <row r="44" spans="1:10" x14ac:dyDescent="0.25">
      <c r="A44" s="38"/>
      <c r="B44" s="38"/>
      <c r="C44" s="38"/>
      <c r="D44" s="38"/>
      <c r="E44" s="38"/>
      <c r="F44" s="38"/>
      <c r="G44" s="38"/>
      <c r="H44" s="38"/>
      <c r="I44" s="38"/>
      <c r="J44" s="38"/>
    </row>
    <row r="45" spans="1:10" x14ac:dyDescent="0.25">
      <c r="A45" s="38"/>
      <c r="B45" s="38"/>
      <c r="C45" s="38"/>
      <c r="D45" s="38"/>
      <c r="E45" s="38"/>
      <c r="F45" s="38"/>
      <c r="G45" s="38"/>
      <c r="H45" s="38"/>
      <c r="I45" s="38"/>
      <c r="J45" s="38"/>
    </row>
    <row r="46" spans="1:10" x14ac:dyDescent="0.25">
      <c r="A46" s="38"/>
      <c r="B46" s="38"/>
      <c r="C46" s="38"/>
      <c r="D46" s="38"/>
      <c r="E46" s="38"/>
      <c r="F46" s="38"/>
      <c r="G46" s="38"/>
      <c r="H46" s="38"/>
      <c r="I46" s="38"/>
      <c r="J46" s="38"/>
    </row>
    <row r="47" spans="1:10" x14ac:dyDescent="0.25">
      <c r="A47" s="38"/>
      <c r="B47" s="38"/>
      <c r="C47" s="38"/>
      <c r="D47" s="38"/>
      <c r="E47" s="38"/>
      <c r="F47" s="38"/>
      <c r="G47" s="38"/>
      <c r="H47" s="38"/>
      <c r="I47" s="38"/>
      <c r="J47" s="38"/>
    </row>
    <row r="48" spans="1:10" x14ac:dyDescent="0.25">
      <c r="A48" s="38"/>
      <c r="B48" s="38"/>
      <c r="C48" s="38"/>
      <c r="D48" s="38"/>
      <c r="E48" s="38"/>
      <c r="F48" s="38"/>
      <c r="G48" s="38"/>
      <c r="H48" s="38"/>
      <c r="I48" s="38"/>
      <c r="J48" s="38"/>
    </row>
    <row r="49" spans="1:10" x14ac:dyDescent="0.25">
      <c r="A49" s="38"/>
      <c r="B49" s="38"/>
      <c r="C49" s="38"/>
      <c r="D49" s="38"/>
      <c r="E49" s="38"/>
      <c r="F49" s="38"/>
      <c r="G49" s="38"/>
      <c r="H49" s="38"/>
      <c r="I49" s="38"/>
      <c r="J49" s="38"/>
    </row>
    <row r="50" spans="1:10" x14ac:dyDescent="0.25">
      <c r="A50" s="38"/>
      <c r="B50" s="38"/>
      <c r="C50" s="38"/>
      <c r="D50" s="38"/>
      <c r="E50" s="38"/>
      <c r="F50" s="38"/>
      <c r="G50" s="38"/>
      <c r="H50" s="38"/>
      <c r="I50" s="38"/>
      <c r="J50" s="38"/>
    </row>
    <row r="51" spans="1:10" x14ac:dyDescent="0.25">
      <c r="A51" s="38"/>
      <c r="B51" s="38"/>
      <c r="C51" s="38"/>
      <c r="D51" s="38"/>
      <c r="E51" s="38"/>
      <c r="F51" s="38"/>
      <c r="G51" s="38"/>
      <c r="H51" s="38"/>
      <c r="I51" s="38"/>
      <c r="J51" s="38"/>
    </row>
    <row r="52" spans="1:10" x14ac:dyDescent="0.25">
      <c r="A52" s="39"/>
      <c r="B52" s="39"/>
      <c r="C52" s="39"/>
      <c r="D52" s="39"/>
      <c r="E52" s="39"/>
      <c r="F52" s="39"/>
      <c r="G52" s="39"/>
      <c r="H52" s="39"/>
      <c r="I52" s="39"/>
      <c r="J52" s="39"/>
    </row>
    <row r="53" spans="1:10" x14ac:dyDescent="0.25">
      <c r="A53" s="651" t="s">
        <v>403</v>
      </c>
      <c r="B53" s="651"/>
      <c r="C53" s="651"/>
      <c r="D53" s="651"/>
      <c r="E53" s="651"/>
      <c r="F53" s="651"/>
      <c r="G53" s="651"/>
      <c r="H53" s="651"/>
      <c r="I53" s="651"/>
      <c r="J53" s="651"/>
    </row>
    <row r="54" spans="1:10" x14ac:dyDescent="0.25">
      <c r="A54" s="652" t="s">
        <v>404</v>
      </c>
      <c r="B54" s="652"/>
      <c r="C54" s="652"/>
      <c r="D54" s="652"/>
      <c r="E54" s="652"/>
      <c r="F54" s="652"/>
      <c r="G54" s="652"/>
      <c r="H54" s="652"/>
      <c r="I54" s="652"/>
      <c r="J54" s="652"/>
    </row>
    <row r="55" spans="1:10" x14ac:dyDescent="0.25">
      <c r="A55" s="39"/>
      <c r="B55" s="39"/>
      <c r="C55" s="39"/>
      <c r="D55" s="39"/>
      <c r="E55" s="39"/>
      <c r="F55" s="39"/>
      <c r="G55" s="39"/>
      <c r="H55" s="39"/>
      <c r="I55" s="39"/>
      <c r="J55" s="39"/>
    </row>
    <row r="56" spans="1:10" x14ac:dyDescent="0.25">
      <c r="A56" s="610" t="s">
        <v>325</v>
      </c>
      <c r="B56" s="610"/>
      <c r="C56" s="610"/>
      <c r="D56" s="610"/>
      <c r="E56" s="640" t="str">
        <f>County</f>
        <v>Fresno</v>
      </c>
      <c r="F56" s="640"/>
      <c r="G56" s="640"/>
      <c r="H56" s="640"/>
      <c r="I56" s="39"/>
      <c r="J56" s="39"/>
    </row>
    <row r="57" spans="1:10" x14ac:dyDescent="0.25">
      <c r="A57" s="39"/>
      <c r="B57" s="39"/>
      <c r="C57" s="39"/>
      <c r="D57" s="39"/>
      <c r="E57" s="39"/>
      <c r="F57" s="39"/>
      <c r="G57" s="39"/>
      <c r="H57" s="39"/>
      <c r="I57" s="39"/>
      <c r="J57" s="39"/>
    </row>
  </sheetData>
  <sheetProtection password="CB13" sheet="1" objects="1" scenarios="1"/>
  <mergeCells count="14">
    <mergeCell ref="E56:H56"/>
    <mergeCell ref="A8:J8"/>
    <mergeCell ref="A26:J28"/>
    <mergeCell ref="A53:J53"/>
    <mergeCell ref="A54:J54"/>
    <mergeCell ref="A9:J24"/>
    <mergeCell ref="A29:J43"/>
    <mergeCell ref="A56:D56"/>
    <mergeCell ref="A5:J5"/>
    <mergeCell ref="A25:J25"/>
    <mergeCell ref="A1:J1"/>
    <mergeCell ref="A2:J2"/>
    <mergeCell ref="A3:J3"/>
    <mergeCell ref="A4:J4"/>
  </mergeCells>
  <phoneticPr fontId="2" type="noConversion"/>
  <dataValidations count="2">
    <dataValidation allowBlank="1" showInputMessage="1" showErrorMessage="1" prompt="Double click on the box to enter/edit your response.  Do not exceed the space provided (as indicated by narrative that no longer appears when you click outside the box).  It will not be possible to format your response in more than one paragraph." sqref="A9:J24 A29:J43" xr:uid="{00000000-0002-0000-0B00-000000000000}"/>
    <dataValidation type="list" allowBlank="1" showInputMessage="1" showErrorMessage="1" prompt="Use drop down list to select &quot;Yes&quot; or &quot;No.&quot;" sqref="I6:I7" xr:uid="{00000000-0002-0000-0B00-000001000000}">
      <formula1>YESNO</formula1>
    </dataValidation>
  </dataValidations>
  <printOptions horizontalCentered="1"/>
  <pageMargins left="0.5" right="0.5" top="0.5" bottom="0.5" header="0.5" footer="0.25"/>
  <pageSetup firstPageNumber="17" orientation="portrait" useFirstPageNumber="1" horizontalDpi="300" verticalDpi="300" r:id="rId1"/>
  <headerFooter alignWithMargins="0">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1"/>
  <dimension ref="A1:B225"/>
  <sheetViews>
    <sheetView topLeftCell="A172" workbookViewId="0">
      <selection activeCell="H26" sqref="H26:I26"/>
    </sheetView>
  </sheetViews>
  <sheetFormatPr defaultRowHeight="13.2" x14ac:dyDescent="0.25"/>
  <cols>
    <col min="1" max="1" width="43.44140625" customWidth="1"/>
    <col min="2" max="2" width="21.77734375" customWidth="1"/>
  </cols>
  <sheetData>
    <row r="1" spans="1:2" x14ac:dyDescent="0.25">
      <c r="A1" t="s">
        <v>539</v>
      </c>
      <c r="B1" s="23" t="str">
        <f>County</f>
        <v>Fresno</v>
      </c>
    </row>
    <row r="2" spans="1:2" x14ac:dyDescent="0.25">
      <c r="A2" t="s">
        <v>541</v>
      </c>
      <c r="B2" s="25">
        <f>Reportdate</f>
        <v>44105</v>
      </c>
    </row>
    <row r="3" spans="1:2" x14ac:dyDescent="0.25">
      <c r="A3" t="s">
        <v>542</v>
      </c>
      <c r="B3" s="24" t="e">
        <f>Chief</f>
        <v>#REF!</v>
      </c>
    </row>
    <row r="4" spans="1:2" x14ac:dyDescent="0.25">
      <c r="A4" t="s">
        <v>543</v>
      </c>
      <c r="B4" t="e">
        <f>Chiefphone2</f>
        <v>#REF!</v>
      </c>
    </row>
    <row r="5" spans="1:2" x14ac:dyDescent="0.25">
      <c r="A5" t="s">
        <v>540</v>
      </c>
      <c r="B5" s="10" t="e">
        <f>Address</f>
        <v>#REF!</v>
      </c>
    </row>
    <row r="6" spans="1:2" x14ac:dyDescent="0.25">
      <c r="A6" t="s">
        <v>544</v>
      </c>
      <c r="B6" s="10" t="e">
        <f>City</f>
        <v>#REF!</v>
      </c>
    </row>
    <row r="7" spans="1:2" x14ac:dyDescent="0.25">
      <c r="A7" t="s">
        <v>546</v>
      </c>
      <c r="B7" s="9" t="e">
        <f>ZIP</f>
        <v>#REF!</v>
      </c>
    </row>
    <row r="8" spans="1:2" x14ac:dyDescent="0.25">
      <c r="A8" t="s">
        <v>545</v>
      </c>
      <c r="B8" s="10" t="e">
        <f>Chiefemail2</f>
        <v>#REF!</v>
      </c>
    </row>
    <row r="9" spans="1:2" x14ac:dyDescent="0.25">
      <c r="A9" t="s">
        <v>192</v>
      </c>
      <c r="B9" t="str">
        <f>primcontact</f>
        <v>Greg Reinke</v>
      </c>
    </row>
    <row r="10" spans="1:2" x14ac:dyDescent="0.25">
      <c r="A10" t="s">
        <v>218</v>
      </c>
      <c r="B10" t="str">
        <f>primarytitle</f>
        <v>Administration Division Director</v>
      </c>
    </row>
    <row r="11" spans="1:2" x14ac:dyDescent="0.25">
      <c r="A11" t="s">
        <v>217</v>
      </c>
      <c r="B11" t="str">
        <f>primphone</f>
        <v>559-600-1247</v>
      </c>
    </row>
    <row r="12" spans="1:2" x14ac:dyDescent="0.25">
      <c r="A12" t="s">
        <v>193</v>
      </c>
      <c r="B12" s="10" t="str">
        <f>preemail</f>
        <v>greinke@fresnocountyca.gov</v>
      </c>
    </row>
    <row r="13" spans="1:2" x14ac:dyDescent="0.25">
      <c r="A13" t="s">
        <v>365</v>
      </c>
      <c r="B13" t="str">
        <f>seccontact</f>
        <v>Vicki Passmore</v>
      </c>
    </row>
    <row r="14" spans="1:2" x14ac:dyDescent="0.25">
      <c r="A14" t="s">
        <v>366</v>
      </c>
      <c r="B14" t="str">
        <f>seccontitle</f>
        <v>Probation Division Director</v>
      </c>
    </row>
    <row r="15" spans="1:2" x14ac:dyDescent="0.25">
      <c r="A15" t="s">
        <v>367</v>
      </c>
      <c r="B15" t="str">
        <f>secphone</f>
        <v>559-600-4760</v>
      </c>
    </row>
    <row r="16" spans="1:2" x14ac:dyDescent="0.25">
      <c r="A16" t="s">
        <v>368</v>
      </c>
      <c r="B16" t="str">
        <f>secemail</f>
        <v>vpassmore@fresnocountyca.gov</v>
      </c>
    </row>
    <row r="17" spans="1:2" x14ac:dyDescent="0.25">
      <c r="A17" t="s">
        <v>264</v>
      </c>
      <c r="B17" t="e">
        <f>t1yobgtot+t2yobgtot+t3yobgtot+t4yobgtot+t5yobgtot+t6yobgtot+t7yobgtot+t8yobgtot+t9yobgtot+t10yobgtot</f>
        <v>#REF!</v>
      </c>
    </row>
    <row r="18" spans="1:2" x14ac:dyDescent="0.25">
      <c r="A18" t="s">
        <v>265</v>
      </c>
      <c r="B18" t="e">
        <f>t1jjcpatot+t2jjcpatot+t3jjcpatot+t4jjcpatot+t5jjcpatot+t6jjcpatot+t7jjcpatot+t8jjcpatot+t9jjcpatot+t10jjcpatot</f>
        <v>#REF!</v>
      </c>
    </row>
    <row r="19" spans="1:2" x14ac:dyDescent="0.25">
      <c r="A19" t="s">
        <v>266</v>
      </c>
      <c r="B19" t="e">
        <f>t1othertot+t2othertot+t3othertot+t4othertot+t5othertot+t6othertot+t7othertot+t8othertot+t9othertot+t10othertot</f>
        <v>#REF!</v>
      </c>
    </row>
    <row r="20" spans="1:2" x14ac:dyDescent="0.25">
      <c r="A20" t="s">
        <v>116</v>
      </c>
      <c r="B20" t="e">
        <f>t1casecount+t2casecount+t3casecount+t4casecount+t5casecount+t6casecount+t7casecount+t8casecount+t9casecount+t10casecount</f>
        <v>#REF!</v>
      </c>
    </row>
    <row r="21" spans="1:2" x14ac:dyDescent="0.25">
      <c r="A21" t="s">
        <v>585</v>
      </c>
      <c r="B21" s="10" t="e">
        <f>Numecodet1</f>
        <v>#REF!</v>
      </c>
    </row>
    <row r="22" spans="1:2" x14ac:dyDescent="0.25">
      <c r="A22" t="s">
        <v>586</v>
      </c>
      <c r="B22" s="10" t="e">
        <f>Numealtt1</f>
        <v>#REF!</v>
      </c>
    </row>
    <row r="23" spans="1:2" x14ac:dyDescent="0.25">
      <c r="A23" t="s">
        <v>547</v>
      </c>
      <c r="B23" s="11">
        <f>t1yobgsal</f>
        <v>0</v>
      </c>
    </row>
    <row r="24" spans="1:2" x14ac:dyDescent="0.25">
      <c r="A24" t="s">
        <v>548</v>
      </c>
      <c r="B24" s="11">
        <f>t1yobgserv</f>
        <v>0</v>
      </c>
    </row>
    <row r="25" spans="1:2" x14ac:dyDescent="0.25">
      <c r="A25" t="s">
        <v>549</v>
      </c>
      <c r="B25" s="11">
        <f>t1yobgprof</f>
        <v>0</v>
      </c>
    </row>
    <row r="26" spans="1:2" x14ac:dyDescent="0.25">
      <c r="A26" t="s">
        <v>550</v>
      </c>
      <c r="B26" s="11">
        <f>t1yobgcbo</f>
        <v>0</v>
      </c>
    </row>
    <row r="27" spans="1:2" x14ac:dyDescent="0.25">
      <c r="A27" t="s">
        <v>551</v>
      </c>
      <c r="B27" s="11">
        <f>t1yobgequip</f>
        <v>0</v>
      </c>
    </row>
    <row r="28" spans="1:2" x14ac:dyDescent="0.25">
      <c r="A28" t="s">
        <v>552</v>
      </c>
      <c r="B28" s="11">
        <f>t1yobgadmin</f>
        <v>0</v>
      </c>
    </row>
    <row r="29" spans="1:2" x14ac:dyDescent="0.25">
      <c r="A29" t="s">
        <v>553</v>
      </c>
      <c r="B29" s="11">
        <f>t1yobgothr1</f>
        <v>0</v>
      </c>
    </row>
    <row r="30" spans="1:2" x14ac:dyDescent="0.25">
      <c r="A30" t="s">
        <v>554</v>
      </c>
      <c r="B30" s="11">
        <f>t1yobgothr2</f>
        <v>0</v>
      </c>
    </row>
    <row r="31" spans="1:2" x14ac:dyDescent="0.25">
      <c r="A31" t="s">
        <v>582</v>
      </c>
      <c r="B31" s="11">
        <f>t1yobgothr3</f>
        <v>0</v>
      </c>
    </row>
    <row r="32" spans="1:2" x14ac:dyDescent="0.25">
      <c r="A32" t="s">
        <v>555</v>
      </c>
      <c r="B32" s="11">
        <f>t1yobgtot</f>
        <v>0</v>
      </c>
    </row>
    <row r="33" spans="1:2" x14ac:dyDescent="0.25">
      <c r="A33" t="s">
        <v>556</v>
      </c>
      <c r="B33" s="11">
        <f>t1jjcpasal</f>
        <v>3274422</v>
      </c>
    </row>
    <row r="34" spans="1:2" x14ac:dyDescent="0.25">
      <c r="A34" t="s">
        <v>557</v>
      </c>
      <c r="B34" s="11">
        <f>t1jjcpaserv</f>
        <v>1268709</v>
      </c>
    </row>
    <row r="35" spans="1:2" x14ac:dyDescent="0.25">
      <c r="A35" t="s">
        <v>558</v>
      </c>
      <c r="B35" s="11">
        <f>t1jjcpaprof</f>
        <v>244428</v>
      </c>
    </row>
    <row r="36" spans="1:2" x14ac:dyDescent="0.25">
      <c r="A36" t="s">
        <v>559</v>
      </c>
      <c r="B36" s="11">
        <f>t1jjcpacbo</f>
        <v>110449</v>
      </c>
    </row>
    <row r="37" spans="1:2" x14ac:dyDescent="0.25">
      <c r="A37" t="s">
        <v>560</v>
      </c>
      <c r="B37" s="11">
        <f>t1jjcpaequip</f>
        <v>0</v>
      </c>
    </row>
    <row r="38" spans="1:2" x14ac:dyDescent="0.25">
      <c r="A38" t="s">
        <v>561</v>
      </c>
      <c r="B38" s="11">
        <f>t1jjcpaadmin</f>
        <v>0</v>
      </c>
    </row>
    <row r="39" spans="1:2" x14ac:dyDescent="0.25">
      <c r="A39" t="s">
        <v>562</v>
      </c>
      <c r="B39" s="11">
        <f>t1jjcpaothr1</f>
        <v>0</v>
      </c>
    </row>
    <row r="40" spans="1:2" x14ac:dyDescent="0.25">
      <c r="A40" t="s">
        <v>563</v>
      </c>
      <c r="B40" s="11">
        <f>t1jjcpaothr2</f>
        <v>0</v>
      </c>
    </row>
    <row r="41" spans="1:2" x14ac:dyDescent="0.25">
      <c r="A41" t="s">
        <v>583</v>
      </c>
      <c r="B41" s="11">
        <f>t1jjcpaothr3</f>
        <v>0</v>
      </c>
    </row>
    <row r="42" spans="1:2" x14ac:dyDescent="0.25">
      <c r="A42" t="s">
        <v>564</v>
      </c>
      <c r="B42" s="11">
        <f>t1jjcpatot</f>
        <v>4898008</v>
      </c>
    </row>
    <row r="43" spans="1:2" x14ac:dyDescent="0.25">
      <c r="A43" t="s">
        <v>565</v>
      </c>
      <c r="B43" s="11">
        <f>t1othersal</f>
        <v>0</v>
      </c>
    </row>
    <row r="44" spans="1:2" x14ac:dyDescent="0.25">
      <c r="A44" t="s">
        <v>566</v>
      </c>
      <c r="B44" s="11">
        <f>t1otherserv</f>
        <v>0</v>
      </c>
    </row>
    <row r="45" spans="1:2" x14ac:dyDescent="0.25">
      <c r="A45" t="s">
        <v>567</v>
      </c>
      <c r="B45" s="11">
        <f>t1otherprof</f>
        <v>0</v>
      </c>
    </row>
    <row r="46" spans="1:2" x14ac:dyDescent="0.25">
      <c r="A46" t="s">
        <v>568</v>
      </c>
      <c r="B46" s="11">
        <f>t1othercbo</f>
        <v>0</v>
      </c>
    </row>
    <row r="47" spans="1:2" x14ac:dyDescent="0.25">
      <c r="A47" t="s">
        <v>569</v>
      </c>
      <c r="B47" s="11">
        <f>t1otherequip</f>
        <v>0</v>
      </c>
    </row>
    <row r="48" spans="1:2" x14ac:dyDescent="0.25">
      <c r="A48" t="s">
        <v>570</v>
      </c>
      <c r="B48" s="11">
        <f>t1otheradmin</f>
        <v>0</v>
      </c>
    </row>
    <row r="49" spans="1:2" x14ac:dyDescent="0.25">
      <c r="A49" t="s">
        <v>571</v>
      </c>
      <c r="B49" s="11">
        <f>t1otherothr1</f>
        <v>0</v>
      </c>
    </row>
    <row r="50" spans="1:2" x14ac:dyDescent="0.25">
      <c r="A50" t="s">
        <v>572</v>
      </c>
      <c r="B50" s="11">
        <f>t1otherothr2</f>
        <v>0</v>
      </c>
    </row>
    <row r="51" spans="1:2" x14ac:dyDescent="0.25">
      <c r="A51" t="s">
        <v>584</v>
      </c>
      <c r="B51" s="11">
        <f>t1otherothr3</f>
        <v>0</v>
      </c>
    </row>
    <row r="52" spans="1:2" x14ac:dyDescent="0.25">
      <c r="A52" t="s">
        <v>573</v>
      </c>
      <c r="B52" s="11">
        <f>t1othertot</f>
        <v>0</v>
      </c>
    </row>
    <row r="53" spans="1:2" x14ac:dyDescent="0.25">
      <c r="A53" t="s">
        <v>574</v>
      </c>
      <c r="B53" s="9" t="e">
        <f>t1casecount</f>
        <v>#REF!</v>
      </c>
    </row>
    <row r="54" spans="1:2" x14ac:dyDescent="0.25">
      <c r="A54" t="s">
        <v>575</v>
      </c>
      <c r="B54" s="12" t="e">
        <f>t1yobgpercap</f>
        <v>#REF!</v>
      </c>
    </row>
    <row r="55" spans="1:2" x14ac:dyDescent="0.25">
      <c r="A55" t="s">
        <v>576</v>
      </c>
      <c r="B55" s="12" t="e">
        <f>t1totpercap</f>
        <v>#REF!</v>
      </c>
    </row>
    <row r="56" spans="1:2" x14ac:dyDescent="0.25">
      <c r="A56" t="s">
        <v>578</v>
      </c>
      <c r="B56" s="9" t="e">
        <f>t1youth1</f>
        <v>#REF!</v>
      </c>
    </row>
    <row r="57" spans="1:2" x14ac:dyDescent="0.25">
      <c r="A57" t="s">
        <v>579</v>
      </c>
      <c r="B57" s="9" t="e">
        <f>t1youth2</f>
        <v>#REF!</v>
      </c>
    </row>
    <row r="58" spans="1:2" x14ac:dyDescent="0.25">
      <c r="A58" t="s">
        <v>580</v>
      </c>
      <c r="B58" s="9" t="e">
        <f>t1youth3</f>
        <v>#REF!</v>
      </c>
    </row>
    <row r="59" spans="1:2" x14ac:dyDescent="0.25">
      <c r="A59" t="s">
        <v>581</v>
      </c>
      <c r="B59" s="9" t="e">
        <f>t1youth4</f>
        <v>#REF!</v>
      </c>
    </row>
    <row r="60" spans="1:2" x14ac:dyDescent="0.25">
      <c r="A60" t="s">
        <v>219</v>
      </c>
      <c r="B60" s="9" t="e">
        <f>t1youth5</f>
        <v>#REF!</v>
      </c>
    </row>
    <row r="61" spans="1:2" x14ac:dyDescent="0.25">
      <c r="A61" t="s">
        <v>220</v>
      </c>
      <c r="B61" s="9" t="e">
        <f>t1youth6</f>
        <v>#REF!</v>
      </c>
    </row>
    <row r="62" spans="1:2" x14ac:dyDescent="0.25">
      <c r="A62" t="s">
        <v>587</v>
      </c>
      <c r="B62" s="13" t="e">
        <f>Numecodet2</f>
        <v>#REF!</v>
      </c>
    </row>
    <row r="63" spans="1:2" x14ac:dyDescent="0.25">
      <c r="A63" t="s">
        <v>588</v>
      </c>
      <c r="B63" s="10" t="e">
        <f>Numealtt2</f>
        <v>#REF!</v>
      </c>
    </row>
    <row r="64" spans="1:2" x14ac:dyDescent="0.25">
      <c r="A64" t="s">
        <v>589</v>
      </c>
      <c r="B64" s="11" t="e">
        <f>t2yobgsal</f>
        <v>#REF!</v>
      </c>
    </row>
    <row r="65" spans="1:2" x14ac:dyDescent="0.25">
      <c r="A65" t="s">
        <v>590</v>
      </c>
      <c r="B65" s="11" t="e">
        <f>t2yobgserv</f>
        <v>#REF!</v>
      </c>
    </row>
    <row r="66" spans="1:2" x14ac:dyDescent="0.25">
      <c r="A66" t="s">
        <v>591</v>
      </c>
      <c r="B66" s="11" t="e">
        <f>t2yobgprof</f>
        <v>#REF!</v>
      </c>
    </row>
    <row r="67" spans="1:2" x14ac:dyDescent="0.25">
      <c r="A67" t="s">
        <v>592</v>
      </c>
      <c r="B67" s="11" t="e">
        <f>t2yobgcbo</f>
        <v>#REF!</v>
      </c>
    </row>
    <row r="68" spans="1:2" x14ac:dyDescent="0.25">
      <c r="A68" t="s">
        <v>593</v>
      </c>
      <c r="B68" s="11" t="e">
        <f>t2yobgequip</f>
        <v>#REF!</v>
      </c>
    </row>
    <row r="69" spans="1:2" x14ac:dyDescent="0.25">
      <c r="A69" t="s">
        <v>594</v>
      </c>
      <c r="B69" s="11" t="e">
        <f>t2yobgadmin</f>
        <v>#REF!</v>
      </c>
    </row>
    <row r="70" spans="1:2" x14ac:dyDescent="0.25">
      <c r="A70" t="s">
        <v>595</v>
      </c>
      <c r="B70" s="11" t="e">
        <f>t2yobgothr1</f>
        <v>#REF!</v>
      </c>
    </row>
    <row r="71" spans="1:2" x14ac:dyDescent="0.25">
      <c r="A71" t="s">
        <v>596</v>
      </c>
      <c r="B71" s="11" t="e">
        <f>t2yobgothr2</f>
        <v>#REF!</v>
      </c>
    </row>
    <row r="72" spans="1:2" x14ac:dyDescent="0.25">
      <c r="A72" t="s">
        <v>597</v>
      </c>
      <c r="B72" s="11" t="e">
        <f>t2yobgothr3</f>
        <v>#REF!</v>
      </c>
    </row>
    <row r="73" spans="1:2" x14ac:dyDescent="0.25">
      <c r="A73" t="s">
        <v>598</v>
      </c>
      <c r="B73" s="11" t="e">
        <f>t2yobgtot</f>
        <v>#REF!</v>
      </c>
    </row>
    <row r="74" spans="1:2" x14ac:dyDescent="0.25">
      <c r="A74" t="s">
        <v>599</v>
      </c>
      <c r="B74" s="11" t="e">
        <f>t2jjcpasal</f>
        <v>#REF!</v>
      </c>
    </row>
    <row r="75" spans="1:2" x14ac:dyDescent="0.25">
      <c r="A75" t="s">
        <v>600</v>
      </c>
      <c r="B75" s="11" t="e">
        <f>t2jjcpaserv</f>
        <v>#REF!</v>
      </c>
    </row>
    <row r="76" spans="1:2" x14ac:dyDescent="0.25">
      <c r="A76" t="s">
        <v>601</v>
      </c>
      <c r="B76" s="11" t="e">
        <f>t2jjcpaprof</f>
        <v>#REF!</v>
      </c>
    </row>
    <row r="77" spans="1:2" x14ac:dyDescent="0.25">
      <c r="A77" t="s">
        <v>602</v>
      </c>
      <c r="B77" s="11" t="e">
        <f>t2jjcpacbo</f>
        <v>#REF!</v>
      </c>
    </row>
    <row r="78" spans="1:2" x14ac:dyDescent="0.25">
      <c r="A78" t="s">
        <v>603</v>
      </c>
      <c r="B78" s="11" t="e">
        <f>t2jjcpaequip</f>
        <v>#REF!</v>
      </c>
    </row>
    <row r="79" spans="1:2" x14ac:dyDescent="0.25">
      <c r="A79" t="s">
        <v>604</v>
      </c>
      <c r="B79" s="11" t="e">
        <f>t2jjcpaadmin</f>
        <v>#REF!</v>
      </c>
    </row>
    <row r="80" spans="1:2" x14ac:dyDescent="0.25">
      <c r="A80" t="s">
        <v>605</v>
      </c>
      <c r="B80" s="11" t="e">
        <f>t2jjcpaothr1</f>
        <v>#REF!</v>
      </c>
    </row>
    <row r="81" spans="1:2" x14ac:dyDescent="0.25">
      <c r="A81" t="s">
        <v>606</v>
      </c>
      <c r="B81" s="11" t="e">
        <f>t2jjcpaothr2</f>
        <v>#REF!</v>
      </c>
    </row>
    <row r="82" spans="1:2" x14ac:dyDescent="0.25">
      <c r="A82" t="s">
        <v>607</v>
      </c>
      <c r="B82" s="11" t="e">
        <f>t2jjcpaothr3</f>
        <v>#REF!</v>
      </c>
    </row>
    <row r="83" spans="1:2" x14ac:dyDescent="0.25">
      <c r="A83" t="s">
        <v>608</v>
      </c>
      <c r="B83" s="11" t="e">
        <f>t2jjcpatot</f>
        <v>#REF!</v>
      </c>
    </row>
    <row r="84" spans="1:2" x14ac:dyDescent="0.25">
      <c r="A84" t="s">
        <v>609</v>
      </c>
      <c r="B84" s="11" t="e">
        <f>t2othersal</f>
        <v>#REF!</v>
      </c>
    </row>
    <row r="85" spans="1:2" x14ac:dyDescent="0.25">
      <c r="A85" t="s">
        <v>610</v>
      </c>
      <c r="B85" s="11" t="e">
        <f>t2otherserv</f>
        <v>#REF!</v>
      </c>
    </row>
    <row r="86" spans="1:2" x14ac:dyDescent="0.25">
      <c r="A86" t="s">
        <v>611</v>
      </c>
      <c r="B86" s="11" t="e">
        <f>t2otherprof</f>
        <v>#REF!</v>
      </c>
    </row>
    <row r="87" spans="1:2" x14ac:dyDescent="0.25">
      <c r="A87" t="s">
        <v>612</v>
      </c>
      <c r="B87" s="11" t="e">
        <f>t2othercbo</f>
        <v>#REF!</v>
      </c>
    </row>
    <row r="88" spans="1:2" x14ac:dyDescent="0.25">
      <c r="A88" t="s">
        <v>613</v>
      </c>
      <c r="B88" s="11" t="e">
        <f>t2otherequip</f>
        <v>#REF!</v>
      </c>
    </row>
    <row r="89" spans="1:2" x14ac:dyDescent="0.25">
      <c r="A89" t="s">
        <v>614</v>
      </c>
      <c r="B89" s="11" t="e">
        <f>t2otheradmin</f>
        <v>#REF!</v>
      </c>
    </row>
    <row r="90" spans="1:2" x14ac:dyDescent="0.25">
      <c r="A90" t="s">
        <v>615</v>
      </c>
      <c r="B90" s="11" t="e">
        <f>t2otherothr1</f>
        <v>#REF!</v>
      </c>
    </row>
    <row r="91" spans="1:2" x14ac:dyDescent="0.25">
      <c r="A91" t="s">
        <v>616</v>
      </c>
      <c r="B91" s="11" t="e">
        <f>t2otherothr2</f>
        <v>#REF!</v>
      </c>
    </row>
    <row r="92" spans="1:2" x14ac:dyDescent="0.25">
      <c r="A92" t="s">
        <v>617</v>
      </c>
      <c r="B92" s="11" t="e">
        <f>t2otherothr3</f>
        <v>#REF!</v>
      </c>
    </row>
    <row r="93" spans="1:2" x14ac:dyDescent="0.25">
      <c r="A93" t="s">
        <v>618</v>
      </c>
      <c r="B93" s="11" t="e">
        <f>t2othertot</f>
        <v>#REF!</v>
      </c>
    </row>
    <row r="94" spans="1:2" x14ac:dyDescent="0.25">
      <c r="A94" t="s">
        <v>619</v>
      </c>
      <c r="B94" s="9" t="e">
        <f>t2casecount</f>
        <v>#REF!</v>
      </c>
    </row>
    <row r="95" spans="1:2" x14ac:dyDescent="0.25">
      <c r="A95" t="s">
        <v>620</v>
      </c>
      <c r="B95" s="12" t="e">
        <f>t2yobgpercap</f>
        <v>#REF!</v>
      </c>
    </row>
    <row r="96" spans="1:2" x14ac:dyDescent="0.25">
      <c r="A96" t="s">
        <v>621</v>
      </c>
      <c r="B96" s="12" t="e">
        <f>t2totpercap</f>
        <v>#REF!</v>
      </c>
    </row>
    <row r="97" spans="1:2" x14ac:dyDescent="0.25">
      <c r="A97" t="s">
        <v>622</v>
      </c>
      <c r="B97" s="9" t="e">
        <f>t2youth1</f>
        <v>#REF!</v>
      </c>
    </row>
    <row r="98" spans="1:2" x14ac:dyDescent="0.25">
      <c r="A98" t="s">
        <v>623</v>
      </c>
      <c r="B98" s="9" t="e">
        <f>t2youth2</f>
        <v>#REF!</v>
      </c>
    </row>
    <row r="99" spans="1:2" x14ac:dyDescent="0.25">
      <c r="A99" t="s">
        <v>624</v>
      </c>
      <c r="B99" s="9" t="e">
        <f>t2youth3</f>
        <v>#REF!</v>
      </c>
    </row>
    <row r="100" spans="1:2" x14ac:dyDescent="0.25">
      <c r="A100" t="s">
        <v>625</v>
      </c>
      <c r="B100" s="9" t="e">
        <f>t2youth4</f>
        <v>#REF!</v>
      </c>
    </row>
    <row r="101" spans="1:2" x14ac:dyDescent="0.25">
      <c r="A101" t="s">
        <v>221</v>
      </c>
      <c r="B101" s="9" t="e">
        <f>t2youth5</f>
        <v>#REF!</v>
      </c>
    </row>
    <row r="102" spans="1:2" x14ac:dyDescent="0.25">
      <c r="A102" t="s">
        <v>222</v>
      </c>
      <c r="B102" s="9" t="e">
        <f>t2youth6</f>
        <v>#REF!</v>
      </c>
    </row>
    <row r="103" spans="1:2" x14ac:dyDescent="0.25">
      <c r="A103" t="s">
        <v>626</v>
      </c>
      <c r="B103" s="13" t="e">
        <f>Numecodet3</f>
        <v>#REF!</v>
      </c>
    </row>
    <row r="104" spans="1:2" x14ac:dyDescent="0.25">
      <c r="A104" t="s">
        <v>627</v>
      </c>
      <c r="B104" s="10" t="e">
        <f>Numealtt3</f>
        <v>#REF!</v>
      </c>
    </row>
    <row r="105" spans="1:2" x14ac:dyDescent="0.25">
      <c r="A105" t="s">
        <v>628</v>
      </c>
      <c r="B105" s="11" t="e">
        <f>t3yobgsal</f>
        <v>#REF!</v>
      </c>
    </row>
    <row r="106" spans="1:2" x14ac:dyDescent="0.25">
      <c r="A106" t="s">
        <v>629</v>
      </c>
      <c r="B106" s="11" t="e">
        <f>t3yobgserv</f>
        <v>#REF!</v>
      </c>
    </row>
    <row r="107" spans="1:2" x14ac:dyDescent="0.25">
      <c r="A107" t="s">
        <v>630</v>
      </c>
      <c r="B107" s="11" t="e">
        <f>t3yobgprof</f>
        <v>#REF!</v>
      </c>
    </row>
    <row r="108" spans="1:2" x14ac:dyDescent="0.25">
      <c r="A108" t="s">
        <v>631</v>
      </c>
      <c r="B108" s="11" t="e">
        <f>t3yobgcbo</f>
        <v>#REF!</v>
      </c>
    </row>
    <row r="109" spans="1:2" x14ac:dyDescent="0.25">
      <c r="A109" t="s">
        <v>632</v>
      </c>
      <c r="B109" s="11" t="e">
        <f>t3yobgequip</f>
        <v>#REF!</v>
      </c>
    </row>
    <row r="110" spans="1:2" x14ac:dyDescent="0.25">
      <c r="A110" t="s">
        <v>633</v>
      </c>
      <c r="B110" s="11" t="e">
        <f>t3yobgadmin</f>
        <v>#REF!</v>
      </c>
    </row>
    <row r="111" spans="1:2" x14ac:dyDescent="0.25">
      <c r="A111" t="s">
        <v>634</v>
      </c>
      <c r="B111" s="11" t="e">
        <f>t3yobgothr1</f>
        <v>#REF!</v>
      </c>
    </row>
    <row r="112" spans="1:2" x14ac:dyDescent="0.25">
      <c r="A112" t="s">
        <v>635</v>
      </c>
      <c r="B112" s="11" t="e">
        <f>t3yobgothr2</f>
        <v>#REF!</v>
      </c>
    </row>
    <row r="113" spans="1:2" x14ac:dyDescent="0.25">
      <c r="A113" t="s">
        <v>636</v>
      </c>
      <c r="B113" s="11" t="e">
        <f>t3yobgothr3</f>
        <v>#REF!</v>
      </c>
    </row>
    <row r="114" spans="1:2" x14ac:dyDescent="0.25">
      <c r="A114" t="s">
        <v>637</v>
      </c>
      <c r="B114" s="11" t="e">
        <f>t3yobgtot</f>
        <v>#REF!</v>
      </c>
    </row>
    <row r="115" spans="1:2" x14ac:dyDescent="0.25">
      <c r="A115" t="s">
        <v>638</v>
      </c>
      <c r="B115" s="11" t="e">
        <f>t3jjcpasal</f>
        <v>#REF!</v>
      </c>
    </row>
    <row r="116" spans="1:2" x14ac:dyDescent="0.25">
      <c r="A116" t="s">
        <v>639</v>
      </c>
      <c r="B116" s="11" t="e">
        <f>t3jjcpaserv</f>
        <v>#REF!</v>
      </c>
    </row>
    <row r="117" spans="1:2" x14ac:dyDescent="0.25">
      <c r="A117" t="s">
        <v>640</v>
      </c>
      <c r="B117" s="11" t="e">
        <f>t3jjcpaprof</f>
        <v>#REF!</v>
      </c>
    </row>
    <row r="118" spans="1:2" x14ac:dyDescent="0.25">
      <c r="A118" t="s">
        <v>641</v>
      </c>
      <c r="B118" s="11" t="e">
        <f>t3jjcpacbo</f>
        <v>#REF!</v>
      </c>
    </row>
    <row r="119" spans="1:2" x14ac:dyDescent="0.25">
      <c r="A119" t="s">
        <v>642</v>
      </c>
      <c r="B119" s="11" t="e">
        <f>t3jjcpaequip</f>
        <v>#REF!</v>
      </c>
    </row>
    <row r="120" spans="1:2" x14ac:dyDescent="0.25">
      <c r="A120" t="s">
        <v>643</v>
      </c>
      <c r="B120" s="11" t="e">
        <f>t3jjcpaadmin</f>
        <v>#REF!</v>
      </c>
    </row>
    <row r="121" spans="1:2" x14ac:dyDescent="0.25">
      <c r="A121" t="s">
        <v>644</v>
      </c>
      <c r="B121" s="11" t="e">
        <f>t3jjcpaothr1</f>
        <v>#REF!</v>
      </c>
    </row>
    <row r="122" spans="1:2" x14ac:dyDescent="0.25">
      <c r="A122" t="s">
        <v>645</v>
      </c>
      <c r="B122" s="11" t="e">
        <f>t3jjcpaothr2</f>
        <v>#REF!</v>
      </c>
    </row>
    <row r="123" spans="1:2" x14ac:dyDescent="0.25">
      <c r="A123" t="s">
        <v>646</v>
      </c>
      <c r="B123" s="11" t="e">
        <f>t3jjcpaothr3</f>
        <v>#REF!</v>
      </c>
    </row>
    <row r="124" spans="1:2" x14ac:dyDescent="0.25">
      <c r="A124" t="s">
        <v>647</v>
      </c>
      <c r="B124" s="11" t="e">
        <f>t3jjcpatot</f>
        <v>#REF!</v>
      </c>
    </row>
    <row r="125" spans="1:2" x14ac:dyDescent="0.25">
      <c r="A125" t="s">
        <v>648</v>
      </c>
      <c r="B125" s="11" t="e">
        <f>t3othersal</f>
        <v>#REF!</v>
      </c>
    </row>
    <row r="126" spans="1:2" x14ac:dyDescent="0.25">
      <c r="A126" t="s">
        <v>649</v>
      </c>
      <c r="B126" s="11" t="e">
        <f>t3otherserv</f>
        <v>#REF!</v>
      </c>
    </row>
    <row r="127" spans="1:2" x14ac:dyDescent="0.25">
      <c r="A127" t="s">
        <v>650</v>
      </c>
      <c r="B127" s="11" t="e">
        <f>t3otherprof</f>
        <v>#REF!</v>
      </c>
    </row>
    <row r="128" spans="1:2" x14ac:dyDescent="0.25">
      <c r="A128" t="s">
        <v>651</v>
      </c>
      <c r="B128" s="11" t="e">
        <f>t3othercbo</f>
        <v>#REF!</v>
      </c>
    </row>
    <row r="129" spans="1:2" x14ac:dyDescent="0.25">
      <c r="A129" t="s">
        <v>652</v>
      </c>
      <c r="B129" s="11" t="e">
        <f>t3otherequip</f>
        <v>#REF!</v>
      </c>
    </row>
    <row r="130" spans="1:2" x14ac:dyDescent="0.25">
      <c r="A130" t="s">
        <v>653</v>
      </c>
      <c r="B130" s="11" t="e">
        <f>t3otheradmin</f>
        <v>#REF!</v>
      </c>
    </row>
    <row r="131" spans="1:2" x14ac:dyDescent="0.25">
      <c r="A131" t="s">
        <v>654</v>
      </c>
      <c r="B131" s="11" t="e">
        <f>t3otherothr1</f>
        <v>#REF!</v>
      </c>
    </row>
    <row r="132" spans="1:2" x14ac:dyDescent="0.25">
      <c r="A132" t="s">
        <v>655</v>
      </c>
      <c r="B132" s="11" t="e">
        <f>t3otherothr2</f>
        <v>#REF!</v>
      </c>
    </row>
    <row r="133" spans="1:2" x14ac:dyDescent="0.25">
      <c r="A133" t="s">
        <v>656</v>
      </c>
      <c r="B133" s="11" t="e">
        <f>t3otherothr3</f>
        <v>#REF!</v>
      </c>
    </row>
    <row r="134" spans="1:2" x14ac:dyDescent="0.25">
      <c r="A134" t="s">
        <v>657</v>
      </c>
      <c r="B134" s="11" t="e">
        <f>t3othertot</f>
        <v>#REF!</v>
      </c>
    </row>
    <row r="135" spans="1:2" x14ac:dyDescent="0.25">
      <c r="A135" t="s">
        <v>658</v>
      </c>
      <c r="B135" s="9" t="e">
        <f>t3casecount</f>
        <v>#REF!</v>
      </c>
    </row>
    <row r="136" spans="1:2" x14ac:dyDescent="0.25">
      <c r="A136" t="s">
        <v>659</v>
      </c>
      <c r="B136" s="12" t="e">
        <f>t3yobgpercap</f>
        <v>#REF!</v>
      </c>
    </row>
    <row r="137" spans="1:2" x14ac:dyDescent="0.25">
      <c r="A137" t="s">
        <v>660</v>
      </c>
      <c r="B137" s="12" t="e">
        <f>t3totpercap</f>
        <v>#REF!</v>
      </c>
    </row>
    <row r="138" spans="1:2" x14ac:dyDescent="0.25">
      <c r="A138" t="s">
        <v>663</v>
      </c>
      <c r="B138" s="9" t="e">
        <f>t3youth1</f>
        <v>#REF!</v>
      </c>
    </row>
    <row r="139" spans="1:2" x14ac:dyDescent="0.25">
      <c r="A139" t="s">
        <v>664</v>
      </c>
      <c r="B139" s="9" t="e">
        <f>t3youth2</f>
        <v>#REF!</v>
      </c>
    </row>
    <row r="140" spans="1:2" x14ac:dyDescent="0.25">
      <c r="A140" t="s">
        <v>665</v>
      </c>
      <c r="B140" s="9" t="e">
        <f>t3youth3</f>
        <v>#REF!</v>
      </c>
    </row>
    <row r="141" spans="1:2" x14ac:dyDescent="0.25">
      <c r="A141" t="s">
        <v>666</v>
      </c>
      <c r="B141" s="9" t="e">
        <f>t3youth4</f>
        <v>#REF!</v>
      </c>
    </row>
    <row r="142" spans="1:2" x14ac:dyDescent="0.25">
      <c r="A142" t="s">
        <v>223</v>
      </c>
      <c r="B142" s="9" t="e">
        <f>t3youth5</f>
        <v>#REF!</v>
      </c>
    </row>
    <row r="143" spans="1:2" x14ac:dyDescent="0.25">
      <c r="A143" t="s">
        <v>224</v>
      </c>
      <c r="B143" s="9" t="e">
        <f>t3youth6</f>
        <v>#REF!</v>
      </c>
    </row>
    <row r="144" spans="1:2" x14ac:dyDescent="0.25">
      <c r="A144" t="s">
        <v>667</v>
      </c>
      <c r="B144" s="13" t="e">
        <f>Numecodet4</f>
        <v>#REF!</v>
      </c>
    </row>
    <row r="145" spans="1:2" x14ac:dyDescent="0.25">
      <c r="A145" t="s">
        <v>668</v>
      </c>
      <c r="B145" s="10" t="e">
        <f>Numealtt4</f>
        <v>#REF!</v>
      </c>
    </row>
    <row r="146" spans="1:2" x14ac:dyDescent="0.25">
      <c r="A146" t="s">
        <v>669</v>
      </c>
      <c r="B146" s="11" t="e">
        <f>t4yobgsal</f>
        <v>#REF!</v>
      </c>
    </row>
    <row r="147" spans="1:2" x14ac:dyDescent="0.25">
      <c r="A147" t="s">
        <v>670</v>
      </c>
      <c r="B147" s="11" t="e">
        <f>t4yobgserv</f>
        <v>#REF!</v>
      </c>
    </row>
    <row r="148" spans="1:2" x14ac:dyDescent="0.25">
      <c r="A148" t="s">
        <v>671</v>
      </c>
      <c r="B148" s="11" t="e">
        <f>t4yobgprof</f>
        <v>#REF!</v>
      </c>
    </row>
    <row r="149" spans="1:2" x14ac:dyDescent="0.25">
      <c r="A149" t="s">
        <v>672</v>
      </c>
      <c r="B149" s="11" t="e">
        <f>t4yobgcbo</f>
        <v>#REF!</v>
      </c>
    </row>
    <row r="150" spans="1:2" x14ac:dyDescent="0.25">
      <c r="A150" t="s">
        <v>673</v>
      </c>
      <c r="B150" s="11" t="e">
        <f>t4yobgequip</f>
        <v>#REF!</v>
      </c>
    </row>
    <row r="151" spans="1:2" x14ac:dyDescent="0.25">
      <c r="A151" t="s">
        <v>674</v>
      </c>
      <c r="B151" s="11" t="e">
        <f>t4yobgadmin</f>
        <v>#REF!</v>
      </c>
    </row>
    <row r="152" spans="1:2" x14ac:dyDescent="0.25">
      <c r="A152" t="s">
        <v>675</v>
      </c>
      <c r="B152" s="11" t="e">
        <f>t4yobgothr1</f>
        <v>#REF!</v>
      </c>
    </row>
    <row r="153" spans="1:2" x14ac:dyDescent="0.25">
      <c r="A153" t="s">
        <v>676</v>
      </c>
      <c r="B153" s="11" t="e">
        <f>t4yobgothr2</f>
        <v>#REF!</v>
      </c>
    </row>
    <row r="154" spans="1:2" x14ac:dyDescent="0.25">
      <c r="A154" t="s">
        <v>677</v>
      </c>
      <c r="B154" s="11" t="e">
        <f>t4yobgothr3</f>
        <v>#REF!</v>
      </c>
    </row>
    <row r="155" spans="1:2" x14ac:dyDescent="0.25">
      <c r="A155" t="s">
        <v>678</v>
      </c>
      <c r="B155" s="11" t="e">
        <f>t4yobgtot</f>
        <v>#REF!</v>
      </c>
    </row>
    <row r="156" spans="1:2" x14ac:dyDescent="0.25">
      <c r="A156" t="s">
        <v>679</v>
      </c>
      <c r="B156" s="11" t="e">
        <f>t4jjcpasal</f>
        <v>#REF!</v>
      </c>
    </row>
    <row r="157" spans="1:2" x14ac:dyDescent="0.25">
      <c r="A157" t="s">
        <v>680</v>
      </c>
      <c r="B157" s="11" t="e">
        <f>t4jjcpaserv</f>
        <v>#REF!</v>
      </c>
    </row>
    <row r="158" spans="1:2" x14ac:dyDescent="0.25">
      <c r="A158" t="s">
        <v>681</v>
      </c>
      <c r="B158" s="11" t="e">
        <f>t4jjcpaprof</f>
        <v>#REF!</v>
      </c>
    </row>
    <row r="159" spans="1:2" x14ac:dyDescent="0.25">
      <c r="A159" t="s">
        <v>682</v>
      </c>
      <c r="B159" s="11" t="e">
        <f>t4jjcpacbo</f>
        <v>#REF!</v>
      </c>
    </row>
    <row r="160" spans="1:2" x14ac:dyDescent="0.25">
      <c r="A160" t="s">
        <v>683</v>
      </c>
      <c r="B160" s="11" t="e">
        <f>t4jjcpaequip</f>
        <v>#REF!</v>
      </c>
    </row>
    <row r="161" spans="1:2" x14ac:dyDescent="0.25">
      <c r="A161" t="s">
        <v>684</v>
      </c>
      <c r="B161" s="11" t="e">
        <f>t4jjcpaadmin</f>
        <v>#REF!</v>
      </c>
    </row>
    <row r="162" spans="1:2" x14ac:dyDescent="0.25">
      <c r="A162" t="s">
        <v>685</v>
      </c>
      <c r="B162" s="11" t="e">
        <f>t4jjcpaothr1</f>
        <v>#REF!</v>
      </c>
    </row>
    <row r="163" spans="1:2" x14ac:dyDescent="0.25">
      <c r="A163" t="s">
        <v>686</v>
      </c>
      <c r="B163" s="11" t="e">
        <f>t4jjcpaothr2</f>
        <v>#REF!</v>
      </c>
    </row>
    <row r="164" spans="1:2" x14ac:dyDescent="0.25">
      <c r="A164" t="s">
        <v>687</v>
      </c>
      <c r="B164" s="11" t="e">
        <f>t4jjcpaothr3</f>
        <v>#REF!</v>
      </c>
    </row>
    <row r="165" spans="1:2" x14ac:dyDescent="0.25">
      <c r="A165" t="s">
        <v>688</v>
      </c>
      <c r="B165" s="11" t="e">
        <f>t4jjcpatot</f>
        <v>#REF!</v>
      </c>
    </row>
    <row r="166" spans="1:2" x14ac:dyDescent="0.25">
      <c r="A166" t="s">
        <v>689</v>
      </c>
      <c r="B166" s="11" t="e">
        <f>t4othersal</f>
        <v>#REF!</v>
      </c>
    </row>
    <row r="167" spans="1:2" x14ac:dyDescent="0.25">
      <c r="A167" t="s">
        <v>690</v>
      </c>
      <c r="B167" s="11" t="e">
        <f>t4otherserv</f>
        <v>#REF!</v>
      </c>
    </row>
    <row r="168" spans="1:2" x14ac:dyDescent="0.25">
      <c r="A168" t="s">
        <v>691</v>
      </c>
      <c r="B168" s="11" t="e">
        <f>t4otherprof</f>
        <v>#REF!</v>
      </c>
    </row>
    <row r="169" spans="1:2" x14ac:dyDescent="0.25">
      <c r="A169" t="s">
        <v>692</v>
      </c>
      <c r="B169" s="11" t="e">
        <f>t4othercbo</f>
        <v>#REF!</v>
      </c>
    </row>
    <row r="170" spans="1:2" x14ac:dyDescent="0.25">
      <c r="A170" t="s">
        <v>693</v>
      </c>
      <c r="B170" s="11" t="e">
        <f>t4otherequip</f>
        <v>#REF!</v>
      </c>
    </row>
    <row r="171" spans="1:2" x14ac:dyDescent="0.25">
      <c r="A171" t="s">
        <v>694</v>
      </c>
      <c r="B171" s="11" t="e">
        <f>t4otheradmin</f>
        <v>#REF!</v>
      </c>
    </row>
    <row r="172" spans="1:2" x14ac:dyDescent="0.25">
      <c r="A172" t="s">
        <v>695</v>
      </c>
      <c r="B172" s="11" t="e">
        <f>t4otherothr1</f>
        <v>#REF!</v>
      </c>
    </row>
    <row r="173" spans="1:2" x14ac:dyDescent="0.25">
      <c r="A173" t="s">
        <v>696</v>
      </c>
      <c r="B173" s="11" t="e">
        <f>t4otherothr2</f>
        <v>#REF!</v>
      </c>
    </row>
    <row r="174" spans="1:2" x14ac:dyDescent="0.25">
      <c r="A174" t="s">
        <v>697</v>
      </c>
      <c r="B174" s="11" t="e">
        <f>t4otherothr3</f>
        <v>#REF!</v>
      </c>
    </row>
    <row r="175" spans="1:2" x14ac:dyDescent="0.25">
      <c r="A175" t="s">
        <v>698</v>
      </c>
      <c r="B175" s="11" t="e">
        <f>t4othertot</f>
        <v>#REF!</v>
      </c>
    </row>
    <row r="176" spans="1:2" x14ac:dyDescent="0.25">
      <c r="A176" t="s">
        <v>699</v>
      </c>
      <c r="B176" s="9" t="e">
        <f>t4casecount</f>
        <v>#REF!</v>
      </c>
    </row>
    <row r="177" spans="1:2" x14ac:dyDescent="0.25">
      <c r="A177" t="s">
        <v>700</v>
      </c>
      <c r="B177" s="12" t="e">
        <f>t4yobgpercap</f>
        <v>#REF!</v>
      </c>
    </row>
    <row r="178" spans="1:2" x14ac:dyDescent="0.25">
      <c r="A178" t="s">
        <v>701</v>
      </c>
      <c r="B178" s="12" t="e">
        <f>t4totpercap</f>
        <v>#REF!</v>
      </c>
    </row>
    <row r="179" spans="1:2" x14ac:dyDescent="0.25">
      <c r="A179" t="s">
        <v>703</v>
      </c>
      <c r="B179" s="9" t="e">
        <f>t4youth1</f>
        <v>#REF!</v>
      </c>
    </row>
    <row r="180" spans="1:2" x14ac:dyDescent="0.25">
      <c r="A180" t="s">
        <v>704</v>
      </c>
      <c r="B180" s="9" t="e">
        <f>t4youth2</f>
        <v>#REF!</v>
      </c>
    </row>
    <row r="181" spans="1:2" x14ac:dyDescent="0.25">
      <c r="A181" t="s">
        <v>705</v>
      </c>
      <c r="B181" s="9" t="e">
        <f>t4youth3</f>
        <v>#REF!</v>
      </c>
    </row>
    <row r="182" spans="1:2" x14ac:dyDescent="0.25">
      <c r="A182" t="s">
        <v>706</v>
      </c>
      <c r="B182" s="9" t="e">
        <f>t4youth4</f>
        <v>#REF!</v>
      </c>
    </row>
    <row r="183" spans="1:2" x14ac:dyDescent="0.25">
      <c r="A183" t="s">
        <v>225</v>
      </c>
      <c r="B183" s="9" t="e">
        <f>t4youth5</f>
        <v>#REF!</v>
      </c>
    </row>
    <row r="184" spans="1:2" x14ac:dyDescent="0.25">
      <c r="A184" t="s">
        <v>226</v>
      </c>
      <c r="B184" s="9" t="e">
        <f>t4youth6</f>
        <v>#REF!</v>
      </c>
    </row>
    <row r="185" spans="1:2" x14ac:dyDescent="0.25">
      <c r="A185" t="s">
        <v>707</v>
      </c>
      <c r="B185" s="13" t="e">
        <f>Numecodet5</f>
        <v>#REF!</v>
      </c>
    </row>
    <row r="186" spans="1:2" x14ac:dyDescent="0.25">
      <c r="A186" t="s">
        <v>708</v>
      </c>
      <c r="B186" s="10" t="e">
        <f>Numealtt5</f>
        <v>#REF!</v>
      </c>
    </row>
    <row r="187" spans="1:2" x14ac:dyDescent="0.25">
      <c r="A187" t="s">
        <v>709</v>
      </c>
      <c r="B187" s="11" t="e">
        <f>t5yobgsal</f>
        <v>#REF!</v>
      </c>
    </row>
    <row r="188" spans="1:2" x14ac:dyDescent="0.25">
      <c r="A188" t="s">
        <v>710</v>
      </c>
      <c r="B188" s="11" t="e">
        <f>t5yobgserv</f>
        <v>#REF!</v>
      </c>
    </row>
    <row r="189" spans="1:2" x14ac:dyDescent="0.25">
      <c r="A189" t="s">
        <v>711</v>
      </c>
      <c r="B189" s="11" t="e">
        <f>t5yobgprof</f>
        <v>#REF!</v>
      </c>
    </row>
    <row r="190" spans="1:2" x14ac:dyDescent="0.25">
      <c r="A190" t="s">
        <v>712</v>
      </c>
      <c r="B190" s="11" t="e">
        <f>t5yobgcbo</f>
        <v>#REF!</v>
      </c>
    </row>
    <row r="191" spans="1:2" x14ac:dyDescent="0.25">
      <c r="A191" t="s">
        <v>713</v>
      </c>
      <c r="B191" s="11" t="e">
        <f>t5yobgequip</f>
        <v>#REF!</v>
      </c>
    </row>
    <row r="192" spans="1:2" x14ac:dyDescent="0.25">
      <c r="A192" t="s">
        <v>714</v>
      </c>
      <c r="B192" s="11" t="e">
        <f>t5yobgadmin</f>
        <v>#REF!</v>
      </c>
    </row>
    <row r="193" spans="1:2" x14ac:dyDescent="0.25">
      <c r="A193" t="s">
        <v>715</v>
      </c>
      <c r="B193" s="11" t="e">
        <f>t5yobgothr1</f>
        <v>#REF!</v>
      </c>
    </row>
    <row r="194" spans="1:2" x14ac:dyDescent="0.25">
      <c r="A194" t="s">
        <v>716</v>
      </c>
      <c r="B194" s="11" t="e">
        <f>t5yobgothr2</f>
        <v>#REF!</v>
      </c>
    </row>
    <row r="195" spans="1:2" x14ac:dyDescent="0.25">
      <c r="A195" t="s">
        <v>717</v>
      </c>
      <c r="B195" s="11" t="e">
        <f>t5yobgothr3</f>
        <v>#REF!</v>
      </c>
    </row>
    <row r="196" spans="1:2" x14ac:dyDescent="0.25">
      <c r="A196" t="s">
        <v>718</v>
      </c>
      <c r="B196" s="11" t="e">
        <f>t5yobgtot</f>
        <v>#REF!</v>
      </c>
    </row>
    <row r="197" spans="1:2" x14ac:dyDescent="0.25">
      <c r="A197" t="s">
        <v>719</v>
      </c>
      <c r="B197" s="11" t="e">
        <f>t5jjcpasal</f>
        <v>#REF!</v>
      </c>
    </row>
    <row r="198" spans="1:2" x14ac:dyDescent="0.25">
      <c r="A198" t="s">
        <v>720</v>
      </c>
      <c r="B198" s="11" t="e">
        <f>t5jjcpaserv</f>
        <v>#REF!</v>
      </c>
    </row>
    <row r="199" spans="1:2" x14ac:dyDescent="0.25">
      <c r="A199" t="s">
        <v>721</v>
      </c>
      <c r="B199" s="11" t="e">
        <f>t5jjcpaprof</f>
        <v>#REF!</v>
      </c>
    </row>
    <row r="200" spans="1:2" x14ac:dyDescent="0.25">
      <c r="A200" t="s">
        <v>722</v>
      </c>
      <c r="B200" s="11" t="e">
        <f>t5jjcpacbo</f>
        <v>#REF!</v>
      </c>
    </row>
    <row r="201" spans="1:2" x14ac:dyDescent="0.25">
      <c r="A201" t="s">
        <v>723</v>
      </c>
      <c r="B201" s="11" t="e">
        <f>t5jjcpaequip</f>
        <v>#REF!</v>
      </c>
    </row>
    <row r="202" spans="1:2" x14ac:dyDescent="0.25">
      <c r="A202" t="s">
        <v>724</v>
      </c>
      <c r="B202" s="11" t="e">
        <f>t5jjcpaadmin</f>
        <v>#REF!</v>
      </c>
    </row>
    <row r="203" spans="1:2" x14ac:dyDescent="0.25">
      <c r="A203" t="s">
        <v>725</v>
      </c>
      <c r="B203" s="11" t="e">
        <f>t5jjcpaothr1</f>
        <v>#REF!</v>
      </c>
    </row>
    <row r="204" spans="1:2" x14ac:dyDescent="0.25">
      <c r="A204" t="s">
        <v>726</v>
      </c>
      <c r="B204" s="11" t="e">
        <f>t5jjcpaothr2</f>
        <v>#REF!</v>
      </c>
    </row>
    <row r="205" spans="1:2" x14ac:dyDescent="0.25">
      <c r="A205" t="s">
        <v>727</v>
      </c>
      <c r="B205" s="11" t="e">
        <f>t5jjcpaothr3</f>
        <v>#REF!</v>
      </c>
    </row>
    <row r="206" spans="1:2" x14ac:dyDescent="0.25">
      <c r="A206" t="s">
        <v>728</v>
      </c>
      <c r="B206" s="11" t="e">
        <f>t5jjcpatot</f>
        <v>#REF!</v>
      </c>
    </row>
    <row r="207" spans="1:2" x14ac:dyDescent="0.25">
      <c r="A207" t="s">
        <v>729</v>
      </c>
      <c r="B207" s="11" t="e">
        <f>t5othersal</f>
        <v>#REF!</v>
      </c>
    </row>
    <row r="208" spans="1:2" x14ac:dyDescent="0.25">
      <c r="A208" t="s">
        <v>730</v>
      </c>
      <c r="B208" s="11" t="e">
        <f>t5otherserv</f>
        <v>#REF!</v>
      </c>
    </row>
    <row r="209" spans="1:2" x14ac:dyDescent="0.25">
      <c r="A209" t="s">
        <v>731</v>
      </c>
      <c r="B209" s="11" t="e">
        <f>t5otherprof</f>
        <v>#REF!</v>
      </c>
    </row>
    <row r="210" spans="1:2" x14ac:dyDescent="0.25">
      <c r="A210" t="s">
        <v>732</v>
      </c>
      <c r="B210" s="11" t="e">
        <f>t5othercbo</f>
        <v>#REF!</v>
      </c>
    </row>
    <row r="211" spans="1:2" x14ac:dyDescent="0.25">
      <c r="A211" t="s">
        <v>733</v>
      </c>
      <c r="B211" s="11" t="e">
        <f>t5otherequip</f>
        <v>#REF!</v>
      </c>
    </row>
    <row r="212" spans="1:2" x14ac:dyDescent="0.25">
      <c r="A212" t="s">
        <v>734</v>
      </c>
      <c r="B212" s="11" t="e">
        <f>t5otheradmin</f>
        <v>#REF!</v>
      </c>
    </row>
    <row r="213" spans="1:2" x14ac:dyDescent="0.25">
      <c r="A213" t="s">
        <v>735</v>
      </c>
      <c r="B213" s="11" t="e">
        <f>t5otherothr1</f>
        <v>#REF!</v>
      </c>
    </row>
    <row r="214" spans="1:2" x14ac:dyDescent="0.25">
      <c r="A214" t="s">
        <v>736</v>
      </c>
      <c r="B214" s="11" t="e">
        <f>t5otherothr2</f>
        <v>#REF!</v>
      </c>
    </row>
    <row r="215" spans="1:2" x14ac:dyDescent="0.25">
      <c r="A215" t="s">
        <v>737</v>
      </c>
      <c r="B215" s="11" t="e">
        <f>t5otherothr3</f>
        <v>#REF!</v>
      </c>
    </row>
    <row r="216" spans="1:2" x14ac:dyDescent="0.25">
      <c r="A216" t="s">
        <v>738</v>
      </c>
      <c r="B216" s="11" t="e">
        <f>t5othertot</f>
        <v>#REF!</v>
      </c>
    </row>
    <row r="217" spans="1:2" x14ac:dyDescent="0.25">
      <c r="A217" t="s">
        <v>739</v>
      </c>
      <c r="B217" s="9" t="e">
        <f>t5casecount</f>
        <v>#REF!</v>
      </c>
    </row>
    <row r="218" spans="1:2" x14ac:dyDescent="0.25">
      <c r="A218" t="s">
        <v>740</v>
      </c>
      <c r="B218" s="12" t="e">
        <f>t5yobgpercap</f>
        <v>#REF!</v>
      </c>
    </row>
    <row r="219" spans="1:2" x14ac:dyDescent="0.25">
      <c r="A219" t="s">
        <v>741</v>
      </c>
      <c r="B219" s="12" t="e">
        <f>t5totpercap</f>
        <v>#REF!</v>
      </c>
    </row>
    <row r="220" spans="1:2" x14ac:dyDescent="0.25">
      <c r="A220" t="s">
        <v>743</v>
      </c>
      <c r="B220" s="9" t="e">
        <f>t5youth1</f>
        <v>#REF!</v>
      </c>
    </row>
    <row r="221" spans="1:2" x14ac:dyDescent="0.25">
      <c r="A221" t="s">
        <v>744</v>
      </c>
      <c r="B221" s="9" t="e">
        <f>t5youth2</f>
        <v>#REF!</v>
      </c>
    </row>
    <row r="222" spans="1:2" x14ac:dyDescent="0.25">
      <c r="A222" t="s">
        <v>745</v>
      </c>
      <c r="B222" s="9" t="e">
        <f>t5youth3</f>
        <v>#REF!</v>
      </c>
    </row>
    <row r="223" spans="1:2" x14ac:dyDescent="0.25">
      <c r="A223" t="s">
        <v>746</v>
      </c>
      <c r="B223" s="9" t="e">
        <f>t5youth4</f>
        <v>#REF!</v>
      </c>
    </row>
    <row r="224" spans="1:2" x14ac:dyDescent="0.25">
      <c r="A224" t="s">
        <v>227</v>
      </c>
      <c r="B224" s="9" t="e">
        <f>t5youth5</f>
        <v>#REF!</v>
      </c>
    </row>
    <row r="225" spans="1:2" x14ac:dyDescent="0.25">
      <c r="A225" t="s">
        <v>228</v>
      </c>
      <c r="B225" s="9" t="e">
        <f>t5youth6</f>
        <v>#REF!</v>
      </c>
    </row>
  </sheetData>
  <sheetProtection password="CB13" sheet="1" objects="1" scenarios="1"/>
  <phoneticPr fontId="2" type="noConversion"/>
  <dataValidations count="1">
    <dataValidation type="list" allowBlank="1" showDropDown="1" showInputMessage="1" showErrorMessage="1" sqref="B5" xr:uid="{00000000-0002-0000-0C00-000000000000}">
      <formula1>Address2</formula1>
    </dataValidation>
  </dataValidations>
  <pageMargins left="0.75" right="0.75" top="1" bottom="1" header="0.5" footer="0.5"/>
  <pageSetup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B225"/>
  <sheetViews>
    <sheetView workbookViewId="0">
      <selection activeCell="H26" sqref="H26:I26"/>
    </sheetView>
  </sheetViews>
  <sheetFormatPr defaultRowHeight="13.2" x14ac:dyDescent="0.25"/>
  <cols>
    <col min="1" max="1" width="41.44140625" customWidth="1"/>
    <col min="2" max="2" width="43.77734375" customWidth="1"/>
  </cols>
  <sheetData>
    <row r="1" spans="1:2" x14ac:dyDescent="0.25">
      <c r="A1" t="s">
        <v>539</v>
      </c>
      <c r="B1" s="23" t="str">
        <f>County</f>
        <v>Fresno</v>
      </c>
    </row>
    <row r="2" spans="1:2" x14ac:dyDescent="0.25">
      <c r="A2" t="s">
        <v>747</v>
      </c>
      <c r="B2" s="13" t="e">
        <f>Numecodet6</f>
        <v>#REF!</v>
      </c>
    </row>
    <row r="3" spans="1:2" x14ac:dyDescent="0.25">
      <c r="A3" t="s">
        <v>748</v>
      </c>
      <c r="B3" s="10" t="e">
        <f>Numealtt6</f>
        <v>#REF!</v>
      </c>
    </row>
    <row r="4" spans="1:2" x14ac:dyDescent="0.25">
      <c r="A4" t="s">
        <v>749</v>
      </c>
      <c r="B4" s="11" t="e">
        <f>t6yobgsal</f>
        <v>#REF!</v>
      </c>
    </row>
    <row r="5" spans="1:2" x14ac:dyDescent="0.25">
      <c r="A5" t="s">
        <v>750</v>
      </c>
      <c r="B5" s="11" t="e">
        <f>t6yobgserv</f>
        <v>#REF!</v>
      </c>
    </row>
    <row r="6" spans="1:2" x14ac:dyDescent="0.25">
      <c r="A6" t="s">
        <v>0</v>
      </c>
      <c r="B6" s="11" t="e">
        <f>t6yobgprof</f>
        <v>#REF!</v>
      </c>
    </row>
    <row r="7" spans="1:2" x14ac:dyDescent="0.25">
      <c r="A7" t="s">
        <v>1</v>
      </c>
      <c r="B7" s="11" t="e">
        <f>t6yobgcbo</f>
        <v>#REF!</v>
      </c>
    </row>
    <row r="8" spans="1:2" x14ac:dyDescent="0.25">
      <c r="A8" t="s">
        <v>2</v>
      </c>
      <c r="B8" s="11" t="e">
        <f>t6yobgequip</f>
        <v>#REF!</v>
      </c>
    </row>
    <row r="9" spans="1:2" x14ac:dyDescent="0.25">
      <c r="A9" t="s">
        <v>3</v>
      </c>
      <c r="B9" s="11" t="e">
        <f>t6yobgadmin</f>
        <v>#REF!</v>
      </c>
    </row>
    <row r="10" spans="1:2" x14ac:dyDescent="0.25">
      <c r="A10" t="s">
        <v>4</v>
      </c>
      <c r="B10" s="11" t="e">
        <f>t6yobgothr1</f>
        <v>#REF!</v>
      </c>
    </row>
    <row r="11" spans="1:2" x14ac:dyDescent="0.25">
      <c r="A11" t="s">
        <v>5</v>
      </c>
      <c r="B11" s="11" t="e">
        <f>t6yobgothr2</f>
        <v>#REF!</v>
      </c>
    </row>
    <row r="12" spans="1:2" x14ac:dyDescent="0.25">
      <c r="A12" t="s">
        <v>6</v>
      </c>
      <c r="B12" s="11" t="e">
        <f>t6yobgothr3</f>
        <v>#REF!</v>
      </c>
    </row>
    <row r="13" spans="1:2" x14ac:dyDescent="0.25">
      <c r="A13" t="s">
        <v>7</v>
      </c>
      <c r="B13" s="11" t="e">
        <f>t6yobgtot</f>
        <v>#REF!</v>
      </c>
    </row>
    <row r="14" spans="1:2" x14ac:dyDescent="0.25">
      <c r="A14" t="s">
        <v>8</v>
      </c>
      <c r="B14" s="11" t="e">
        <f>t6jjcpasal</f>
        <v>#REF!</v>
      </c>
    </row>
    <row r="15" spans="1:2" x14ac:dyDescent="0.25">
      <c r="A15" t="s">
        <v>9</v>
      </c>
      <c r="B15" s="11" t="e">
        <f>t6jjcpaserv</f>
        <v>#REF!</v>
      </c>
    </row>
    <row r="16" spans="1:2" x14ac:dyDescent="0.25">
      <c r="A16" t="s">
        <v>10</v>
      </c>
      <c r="B16" s="11" t="e">
        <f>t6jjcpaprof</f>
        <v>#REF!</v>
      </c>
    </row>
    <row r="17" spans="1:2" x14ac:dyDescent="0.25">
      <c r="A17" t="s">
        <v>11</v>
      </c>
      <c r="B17" s="11" t="e">
        <f>t6jjcpacbo</f>
        <v>#REF!</v>
      </c>
    </row>
    <row r="18" spans="1:2" x14ac:dyDescent="0.25">
      <c r="A18" t="s">
        <v>12</v>
      </c>
      <c r="B18" s="11" t="e">
        <f>t6jjcpaequip</f>
        <v>#REF!</v>
      </c>
    </row>
    <row r="19" spans="1:2" x14ac:dyDescent="0.25">
      <c r="A19" t="s">
        <v>13</v>
      </c>
      <c r="B19" s="11" t="e">
        <f>t6jjcpaadmin</f>
        <v>#REF!</v>
      </c>
    </row>
    <row r="20" spans="1:2" x14ac:dyDescent="0.25">
      <c r="A20" t="s">
        <v>14</v>
      </c>
      <c r="B20" s="11" t="e">
        <f>t6jjcpaothr1</f>
        <v>#REF!</v>
      </c>
    </row>
    <row r="21" spans="1:2" x14ac:dyDescent="0.25">
      <c r="A21" t="s">
        <v>15</v>
      </c>
      <c r="B21" s="11" t="e">
        <f>t6jjcpaothr2</f>
        <v>#REF!</v>
      </c>
    </row>
    <row r="22" spans="1:2" x14ac:dyDescent="0.25">
      <c r="A22" t="s">
        <v>16</v>
      </c>
      <c r="B22" s="11" t="e">
        <f>t6jjcpaothr3</f>
        <v>#REF!</v>
      </c>
    </row>
    <row r="23" spans="1:2" x14ac:dyDescent="0.25">
      <c r="A23" t="s">
        <v>17</v>
      </c>
      <c r="B23" s="11" t="e">
        <f>t6jjcpatot</f>
        <v>#REF!</v>
      </c>
    </row>
    <row r="24" spans="1:2" x14ac:dyDescent="0.25">
      <c r="A24" t="s">
        <v>18</v>
      </c>
      <c r="B24" s="11" t="e">
        <f>t6othersal</f>
        <v>#REF!</v>
      </c>
    </row>
    <row r="25" spans="1:2" x14ac:dyDescent="0.25">
      <c r="A25" t="s">
        <v>19</v>
      </c>
      <c r="B25" s="11" t="e">
        <f>t6otherserv</f>
        <v>#REF!</v>
      </c>
    </row>
    <row r="26" spans="1:2" x14ac:dyDescent="0.25">
      <c r="A26" t="s">
        <v>20</v>
      </c>
      <c r="B26" s="11" t="e">
        <f>t6otherprof</f>
        <v>#REF!</v>
      </c>
    </row>
    <row r="27" spans="1:2" x14ac:dyDescent="0.25">
      <c r="A27" t="s">
        <v>21</v>
      </c>
      <c r="B27" s="11" t="e">
        <f>t6othercbo</f>
        <v>#REF!</v>
      </c>
    </row>
    <row r="28" spans="1:2" x14ac:dyDescent="0.25">
      <c r="A28" t="s">
        <v>22</v>
      </c>
      <c r="B28" s="11" t="e">
        <f>t6otherequip</f>
        <v>#REF!</v>
      </c>
    </row>
    <row r="29" spans="1:2" x14ac:dyDescent="0.25">
      <c r="A29" t="s">
        <v>23</v>
      </c>
      <c r="B29" s="11" t="e">
        <f>t6otheradmin</f>
        <v>#REF!</v>
      </c>
    </row>
    <row r="30" spans="1:2" x14ac:dyDescent="0.25">
      <c r="A30" t="s">
        <v>24</v>
      </c>
      <c r="B30" s="11" t="e">
        <f>t6otherothr1</f>
        <v>#REF!</v>
      </c>
    </row>
    <row r="31" spans="1:2" x14ac:dyDescent="0.25">
      <c r="A31" t="s">
        <v>25</v>
      </c>
      <c r="B31" s="11" t="e">
        <f>t6otherothr2</f>
        <v>#REF!</v>
      </c>
    </row>
    <row r="32" spans="1:2" x14ac:dyDescent="0.25">
      <c r="A32" t="s">
        <v>26</v>
      </c>
      <c r="B32" s="11" t="e">
        <f>t6otherothr3</f>
        <v>#REF!</v>
      </c>
    </row>
    <row r="33" spans="1:2" x14ac:dyDescent="0.25">
      <c r="A33" t="s">
        <v>27</v>
      </c>
      <c r="B33" s="11" t="e">
        <f>t6othertot</f>
        <v>#REF!</v>
      </c>
    </row>
    <row r="34" spans="1:2" x14ac:dyDescent="0.25">
      <c r="A34" t="s">
        <v>28</v>
      </c>
      <c r="B34" s="9" t="e">
        <f>t6casecount</f>
        <v>#REF!</v>
      </c>
    </row>
    <row r="35" spans="1:2" x14ac:dyDescent="0.25">
      <c r="A35" t="s">
        <v>29</v>
      </c>
      <c r="B35" s="12" t="e">
        <f>t6yobgpercap</f>
        <v>#REF!</v>
      </c>
    </row>
    <row r="36" spans="1:2" x14ac:dyDescent="0.25">
      <c r="A36" t="s">
        <v>30</v>
      </c>
      <c r="B36" s="12" t="e">
        <f>t6totpercap</f>
        <v>#REF!</v>
      </c>
    </row>
    <row r="37" spans="1:2" x14ac:dyDescent="0.25">
      <c r="A37" t="s">
        <v>32</v>
      </c>
      <c r="B37" s="9" t="e">
        <f>t6youth1</f>
        <v>#REF!</v>
      </c>
    </row>
    <row r="38" spans="1:2" x14ac:dyDescent="0.25">
      <c r="A38" t="s">
        <v>33</v>
      </c>
      <c r="B38" s="9" t="e">
        <f>t6youth2</f>
        <v>#REF!</v>
      </c>
    </row>
    <row r="39" spans="1:2" x14ac:dyDescent="0.25">
      <c r="A39" t="s">
        <v>34</v>
      </c>
      <c r="B39" s="9" t="e">
        <f>t6youth3</f>
        <v>#REF!</v>
      </c>
    </row>
    <row r="40" spans="1:2" x14ac:dyDescent="0.25">
      <c r="A40" t="s">
        <v>35</v>
      </c>
      <c r="B40" s="9" t="e">
        <f>t6youth4</f>
        <v>#REF!</v>
      </c>
    </row>
    <row r="41" spans="1:2" x14ac:dyDescent="0.25">
      <c r="A41" t="s">
        <v>229</v>
      </c>
      <c r="B41" s="9" t="e">
        <f>t6youth5</f>
        <v>#REF!</v>
      </c>
    </row>
    <row r="42" spans="1:2" x14ac:dyDescent="0.25">
      <c r="A42" t="s">
        <v>230</v>
      </c>
      <c r="B42" s="9" t="e">
        <f>t6youth6</f>
        <v>#REF!</v>
      </c>
    </row>
    <row r="43" spans="1:2" x14ac:dyDescent="0.25">
      <c r="A43" t="s">
        <v>36</v>
      </c>
      <c r="B43" s="13" t="e">
        <f>Numecodet7</f>
        <v>#REF!</v>
      </c>
    </row>
    <row r="44" spans="1:2" x14ac:dyDescent="0.25">
      <c r="A44" t="s">
        <v>37</v>
      </c>
      <c r="B44" s="10" t="e">
        <f>Numealtt7</f>
        <v>#REF!</v>
      </c>
    </row>
    <row r="45" spans="1:2" x14ac:dyDescent="0.25">
      <c r="A45" t="s">
        <v>38</v>
      </c>
      <c r="B45" s="11" t="e">
        <f>t7yobgsal</f>
        <v>#REF!</v>
      </c>
    </row>
    <row r="46" spans="1:2" x14ac:dyDescent="0.25">
      <c r="A46" t="s">
        <v>39</v>
      </c>
      <c r="B46" s="11" t="e">
        <f>t7yobgserv</f>
        <v>#REF!</v>
      </c>
    </row>
    <row r="47" spans="1:2" x14ac:dyDescent="0.25">
      <c r="A47" t="s">
        <v>40</v>
      </c>
      <c r="B47" s="11" t="e">
        <f>t7yobgprof</f>
        <v>#REF!</v>
      </c>
    </row>
    <row r="48" spans="1:2" x14ac:dyDescent="0.25">
      <c r="A48" t="s">
        <v>41</v>
      </c>
      <c r="B48" s="11" t="e">
        <f>t7yobgcbo</f>
        <v>#REF!</v>
      </c>
    </row>
    <row r="49" spans="1:2" x14ac:dyDescent="0.25">
      <c r="A49" t="s">
        <v>42</v>
      </c>
      <c r="B49" s="11" t="e">
        <f>t7yobgequip</f>
        <v>#REF!</v>
      </c>
    </row>
    <row r="50" spans="1:2" x14ac:dyDescent="0.25">
      <c r="A50" t="s">
        <v>43</v>
      </c>
      <c r="B50" s="11" t="e">
        <f>t7yobgadmin</f>
        <v>#REF!</v>
      </c>
    </row>
    <row r="51" spans="1:2" x14ac:dyDescent="0.25">
      <c r="A51" t="s">
        <v>44</v>
      </c>
      <c r="B51" s="11" t="e">
        <f>t7yobgothr1</f>
        <v>#REF!</v>
      </c>
    </row>
    <row r="52" spans="1:2" x14ac:dyDescent="0.25">
      <c r="A52" t="s">
        <v>45</v>
      </c>
      <c r="B52" s="11" t="e">
        <f>t7yobgothr2</f>
        <v>#REF!</v>
      </c>
    </row>
    <row r="53" spans="1:2" x14ac:dyDescent="0.25">
      <c r="A53" t="s">
        <v>46</v>
      </c>
      <c r="B53" s="11" t="e">
        <f>t7yobgothr3</f>
        <v>#REF!</v>
      </c>
    </row>
    <row r="54" spans="1:2" x14ac:dyDescent="0.25">
      <c r="A54" t="s">
        <v>47</v>
      </c>
      <c r="B54" s="11" t="e">
        <f>t7yobgtot</f>
        <v>#REF!</v>
      </c>
    </row>
    <row r="55" spans="1:2" x14ac:dyDescent="0.25">
      <c r="A55" t="s">
        <v>48</v>
      </c>
      <c r="B55" s="11" t="e">
        <f>t7jjcpasal</f>
        <v>#REF!</v>
      </c>
    </row>
    <row r="56" spans="1:2" x14ac:dyDescent="0.25">
      <c r="A56" t="s">
        <v>49</v>
      </c>
      <c r="B56" s="11" t="e">
        <f>t7jjcpaserv</f>
        <v>#REF!</v>
      </c>
    </row>
    <row r="57" spans="1:2" x14ac:dyDescent="0.25">
      <c r="A57" t="s">
        <v>50</v>
      </c>
      <c r="B57" s="11" t="e">
        <f>t7jjcpaprof</f>
        <v>#REF!</v>
      </c>
    </row>
    <row r="58" spans="1:2" x14ac:dyDescent="0.25">
      <c r="A58" t="s">
        <v>51</v>
      </c>
      <c r="B58" s="11" t="e">
        <f>t7jjcpacbo</f>
        <v>#REF!</v>
      </c>
    </row>
    <row r="59" spans="1:2" x14ac:dyDescent="0.25">
      <c r="A59" t="s">
        <v>52</v>
      </c>
      <c r="B59" s="11" t="e">
        <f>t7jjcpaequip</f>
        <v>#REF!</v>
      </c>
    </row>
    <row r="60" spans="1:2" x14ac:dyDescent="0.25">
      <c r="A60" t="s">
        <v>53</v>
      </c>
      <c r="B60" s="11" t="e">
        <f>t7jjcpaadmin</f>
        <v>#REF!</v>
      </c>
    </row>
    <row r="61" spans="1:2" x14ac:dyDescent="0.25">
      <c r="A61" t="s">
        <v>54</v>
      </c>
      <c r="B61" s="11" t="e">
        <f>t7jjcpaothr1</f>
        <v>#REF!</v>
      </c>
    </row>
    <row r="62" spans="1:2" x14ac:dyDescent="0.25">
      <c r="A62" t="s">
        <v>55</v>
      </c>
      <c r="B62" s="11" t="e">
        <f>t7jjcpaothr2</f>
        <v>#REF!</v>
      </c>
    </row>
    <row r="63" spans="1:2" x14ac:dyDescent="0.25">
      <c r="A63" t="s">
        <v>56</v>
      </c>
      <c r="B63" s="11" t="e">
        <f>t7jjcpaothr3</f>
        <v>#REF!</v>
      </c>
    </row>
    <row r="64" spans="1:2" x14ac:dyDescent="0.25">
      <c r="A64" t="s">
        <v>57</v>
      </c>
      <c r="B64" s="11" t="e">
        <f>t7jjcpatot</f>
        <v>#REF!</v>
      </c>
    </row>
    <row r="65" spans="1:2" x14ac:dyDescent="0.25">
      <c r="A65" t="s">
        <v>58</v>
      </c>
      <c r="B65" s="11" t="e">
        <f>t7othersal</f>
        <v>#REF!</v>
      </c>
    </row>
    <row r="66" spans="1:2" x14ac:dyDescent="0.25">
      <c r="A66" t="s">
        <v>59</v>
      </c>
      <c r="B66" s="11" t="e">
        <f>t7otherserv</f>
        <v>#REF!</v>
      </c>
    </row>
    <row r="67" spans="1:2" x14ac:dyDescent="0.25">
      <c r="A67" t="s">
        <v>60</v>
      </c>
      <c r="B67" s="11" t="e">
        <f>t7otherprof</f>
        <v>#REF!</v>
      </c>
    </row>
    <row r="68" spans="1:2" x14ac:dyDescent="0.25">
      <c r="A68" t="s">
        <v>61</v>
      </c>
      <c r="B68" s="11" t="e">
        <f>t7othercbo</f>
        <v>#REF!</v>
      </c>
    </row>
    <row r="69" spans="1:2" x14ac:dyDescent="0.25">
      <c r="A69" t="s">
        <v>62</v>
      </c>
      <c r="B69" s="11" t="e">
        <f>t7otherequip</f>
        <v>#REF!</v>
      </c>
    </row>
    <row r="70" spans="1:2" x14ac:dyDescent="0.25">
      <c r="A70" t="s">
        <v>63</v>
      </c>
      <c r="B70" s="11" t="e">
        <f>t7otheradmin</f>
        <v>#REF!</v>
      </c>
    </row>
    <row r="71" spans="1:2" x14ac:dyDescent="0.25">
      <c r="A71" t="s">
        <v>64</v>
      </c>
      <c r="B71" s="11" t="e">
        <f>t7otherothr1</f>
        <v>#REF!</v>
      </c>
    </row>
    <row r="72" spans="1:2" x14ac:dyDescent="0.25">
      <c r="A72" t="s">
        <v>65</v>
      </c>
      <c r="B72" s="11" t="e">
        <f>t7otherothr2</f>
        <v>#REF!</v>
      </c>
    </row>
    <row r="73" spans="1:2" x14ac:dyDescent="0.25">
      <c r="A73" t="s">
        <v>66</v>
      </c>
      <c r="B73" s="11" t="e">
        <f>t7otherothr3</f>
        <v>#REF!</v>
      </c>
    </row>
    <row r="74" spans="1:2" x14ac:dyDescent="0.25">
      <c r="A74" t="s">
        <v>67</v>
      </c>
      <c r="B74" s="11" t="e">
        <f>t7othertot</f>
        <v>#REF!</v>
      </c>
    </row>
    <row r="75" spans="1:2" x14ac:dyDescent="0.25">
      <c r="A75" t="s">
        <v>68</v>
      </c>
      <c r="B75" s="9" t="e">
        <f>t7casecount</f>
        <v>#REF!</v>
      </c>
    </row>
    <row r="76" spans="1:2" x14ac:dyDescent="0.25">
      <c r="A76" t="s">
        <v>69</v>
      </c>
      <c r="B76" s="12" t="e">
        <f>t7yobgpercap</f>
        <v>#REF!</v>
      </c>
    </row>
    <row r="77" spans="1:2" x14ac:dyDescent="0.25">
      <c r="A77" t="s">
        <v>70</v>
      </c>
      <c r="B77" s="12" t="e">
        <f>t7totpercap</f>
        <v>#REF!</v>
      </c>
    </row>
    <row r="78" spans="1:2" x14ac:dyDescent="0.25">
      <c r="A78" t="s">
        <v>72</v>
      </c>
      <c r="B78" s="9" t="e">
        <f>t7youth1</f>
        <v>#REF!</v>
      </c>
    </row>
    <row r="79" spans="1:2" x14ac:dyDescent="0.25">
      <c r="A79" t="s">
        <v>73</v>
      </c>
      <c r="B79" s="9" t="e">
        <f>t7youth2</f>
        <v>#REF!</v>
      </c>
    </row>
    <row r="80" spans="1:2" x14ac:dyDescent="0.25">
      <c r="A80" t="s">
        <v>74</v>
      </c>
      <c r="B80" s="9" t="e">
        <f>t7youth3</f>
        <v>#REF!</v>
      </c>
    </row>
    <row r="81" spans="1:2" x14ac:dyDescent="0.25">
      <c r="A81" t="s">
        <v>75</v>
      </c>
      <c r="B81" s="9" t="e">
        <f>t7youth4</f>
        <v>#REF!</v>
      </c>
    </row>
    <row r="82" spans="1:2" x14ac:dyDescent="0.25">
      <c r="A82" t="s">
        <v>231</v>
      </c>
      <c r="B82" s="9" t="e">
        <f>t7youth5</f>
        <v>#REF!</v>
      </c>
    </row>
    <row r="83" spans="1:2" x14ac:dyDescent="0.25">
      <c r="A83" t="s">
        <v>232</v>
      </c>
      <c r="B83" s="9" t="e">
        <f>t7youth6</f>
        <v>#REF!</v>
      </c>
    </row>
    <row r="84" spans="1:2" x14ac:dyDescent="0.25">
      <c r="A84" t="s">
        <v>76</v>
      </c>
      <c r="B84" s="13" t="e">
        <f>Numecodet8</f>
        <v>#REF!</v>
      </c>
    </row>
    <row r="85" spans="1:2" x14ac:dyDescent="0.25">
      <c r="A85" t="s">
        <v>77</v>
      </c>
      <c r="B85" s="10" t="e">
        <f>Numealtt8</f>
        <v>#REF!</v>
      </c>
    </row>
    <row r="86" spans="1:2" x14ac:dyDescent="0.25">
      <c r="A86" t="s">
        <v>78</v>
      </c>
      <c r="B86" s="11" t="e">
        <f>t8yobgsal</f>
        <v>#REF!</v>
      </c>
    </row>
    <row r="87" spans="1:2" x14ac:dyDescent="0.25">
      <c r="A87" t="s">
        <v>79</v>
      </c>
      <c r="B87" s="11" t="e">
        <f>t8yobgserv</f>
        <v>#REF!</v>
      </c>
    </row>
    <row r="88" spans="1:2" x14ac:dyDescent="0.25">
      <c r="A88" t="s">
        <v>80</v>
      </c>
      <c r="B88" s="11" t="e">
        <f>t8yobgprof</f>
        <v>#REF!</v>
      </c>
    </row>
    <row r="89" spans="1:2" x14ac:dyDescent="0.25">
      <c r="A89" t="s">
        <v>81</v>
      </c>
      <c r="B89" s="11" t="e">
        <f>t8yobgcbo</f>
        <v>#REF!</v>
      </c>
    </row>
    <row r="90" spans="1:2" x14ac:dyDescent="0.25">
      <c r="A90" t="s">
        <v>82</v>
      </c>
      <c r="B90" s="11" t="e">
        <f>t8yobgequip</f>
        <v>#REF!</v>
      </c>
    </row>
    <row r="91" spans="1:2" x14ac:dyDescent="0.25">
      <c r="A91" t="s">
        <v>83</v>
      </c>
      <c r="B91" s="11" t="e">
        <f>t8yobgadmin</f>
        <v>#REF!</v>
      </c>
    </row>
    <row r="92" spans="1:2" x14ac:dyDescent="0.25">
      <c r="A92" t="s">
        <v>84</v>
      </c>
      <c r="B92" s="11" t="e">
        <f>t8yobgothr1</f>
        <v>#REF!</v>
      </c>
    </row>
    <row r="93" spans="1:2" x14ac:dyDescent="0.25">
      <c r="A93" t="s">
        <v>85</v>
      </c>
      <c r="B93" s="11" t="e">
        <f>t8yobgothr2</f>
        <v>#REF!</v>
      </c>
    </row>
    <row r="94" spans="1:2" x14ac:dyDescent="0.25">
      <c r="A94" t="s">
        <v>86</v>
      </c>
      <c r="B94" s="11" t="e">
        <f>t8yobgothr3</f>
        <v>#REF!</v>
      </c>
    </row>
    <row r="95" spans="1:2" x14ac:dyDescent="0.25">
      <c r="A95" t="s">
        <v>87</v>
      </c>
      <c r="B95" s="11" t="e">
        <f>t8yobgtot</f>
        <v>#REF!</v>
      </c>
    </row>
    <row r="96" spans="1:2" x14ac:dyDescent="0.25">
      <c r="A96" t="s">
        <v>88</v>
      </c>
      <c r="B96" s="11" t="e">
        <f>t8jjcpasal</f>
        <v>#REF!</v>
      </c>
    </row>
    <row r="97" spans="1:2" x14ac:dyDescent="0.25">
      <c r="A97" t="s">
        <v>89</v>
      </c>
      <c r="B97" s="11" t="e">
        <f>t8jjcpaserv</f>
        <v>#REF!</v>
      </c>
    </row>
    <row r="98" spans="1:2" x14ac:dyDescent="0.25">
      <c r="A98" t="s">
        <v>90</v>
      </c>
      <c r="B98" s="11" t="e">
        <f>t8jjcpaprof</f>
        <v>#REF!</v>
      </c>
    </row>
    <row r="99" spans="1:2" x14ac:dyDescent="0.25">
      <c r="A99" t="s">
        <v>91</v>
      </c>
      <c r="B99" s="11" t="e">
        <f>t8jjcpacbo</f>
        <v>#REF!</v>
      </c>
    </row>
    <row r="100" spans="1:2" x14ac:dyDescent="0.25">
      <c r="A100" t="s">
        <v>92</v>
      </c>
      <c r="B100" s="11" t="e">
        <f>t8jjcpaequip</f>
        <v>#REF!</v>
      </c>
    </row>
    <row r="101" spans="1:2" x14ac:dyDescent="0.25">
      <c r="A101" t="s">
        <v>93</v>
      </c>
      <c r="B101" s="11" t="e">
        <f>t8jjcpaadmin</f>
        <v>#REF!</v>
      </c>
    </row>
    <row r="102" spans="1:2" x14ac:dyDescent="0.25">
      <c r="A102" t="s">
        <v>94</v>
      </c>
      <c r="B102" s="11" t="e">
        <f>t8jjcpaothr1</f>
        <v>#REF!</v>
      </c>
    </row>
    <row r="103" spans="1:2" x14ac:dyDescent="0.25">
      <c r="A103" t="s">
        <v>95</v>
      </c>
      <c r="B103" s="11" t="e">
        <f>t8jjcpaothr2</f>
        <v>#REF!</v>
      </c>
    </row>
    <row r="104" spans="1:2" x14ac:dyDescent="0.25">
      <c r="A104" t="s">
        <v>96</v>
      </c>
      <c r="B104" s="11" t="e">
        <f>t8jjcpaothr3</f>
        <v>#REF!</v>
      </c>
    </row>
    <row r="105" spans="1:2" x14ac:dyDescent="0.25">
      <c r="A105" t="s">
        <v>97</v>
      </c>
      <c r="B105" s="11" t="e">
        <f>t8jjcpatot</f>
        <v>#REF!</v>
      </c>
    </row>
    <row r="106" spans="1:2" x14ac:dyDescent="0.25">
      <c r="A106" t="s">
        <v>98</v>
      </c>
      <c r="B106" s="11" t="e">
        <f>t8othersal</f>
        <v>#REF!</v>
      </c>
    </row>
    <row r="107" spans="1:2" x14ac:dyDescent="0.25">
      <c r="A107" t="s">
        <v>99</v>
      </c>
      <c r="B107" s="11" t="e">
        <f>t8otherserv</f>
        <v>#REF!</v>
      </c>
    </row>
    <row r="108" spans="1:2" x14ac:dyDescent="0.25">
      <c r="A108" t="s">
        <v>100</v>
      </c>
      <c r="B108" s="11" t="e">
        <f>t8otherprof</f>
        <v>#REF!</v>
      </c>
    </row>
    <row r="109" spans="1:2" x14ac:dyDescent="0.25">
      <c r="A109" t="s">
        <v>101</v>
      </c>
      <c r="B109" s="11" t="e">
        <f>t8othercbo</f>
        <v>#REF!</v>
      </c>
    </row>
    <row r="110" spans="1:2" x14ac:dyDescent="0.25">
      <c r="A110" t="s">
        <v>102</v>
      </c>
      <c r="B110" s="11" t="e">
        <f>t8otherequip</f>
        <v>#REF!</v>
      </c>
    </row>
    <row r="111" spans="1:2" x14ac:dyDescent="0.25">
      <c r="A111" t="s">
        <v>103</v>
      </c>
      <c r="B111" s="11" t="e">
        <f>t8otheradmin</f>
        <v>#REF!</v>
      </c>
    </row>
    <row r="112" spans="1:2" x14ac:dyDescent="0.25">
      <c r="A112" t="s">
        <v>104</v>
      </c>
      <c r="B112" s="11" t="e">
        <f>t8otherothr1</f>
        <v>#REF!</v>
      </c>
    </row>
    <row r="113" spans="1:2" x14ac:dyDescent="0.25">
      <c r="A113" t="s">
        <v>105</v>
      </c>
      <c r="B113" s="11" t="e">
        <f>t8otherothr2</f>
        <v>#REF!</v>
      </c>
    </row>
    <row r="114" spans="1:2" x14ac:dyDescent="0.25">
      <c r="A114" t="s">
        <v>106</v>
      </c>
      <c r="B114" s="11" t="e">
        <f>t8otherothr3</f>
        <v>#REF!</v>
      </c>
    </row>
    <row r="115" spans="1:2" x14ac:dyDescent="0.25">
      <c r="A115" t="s">
        <v>107</v>
      </c>
      <c r="B115" s="11" t="e">
        <f>t8othertot</f>
        <v>#REF!</v>
      </c>
    </row>
    <row r="116" spans="1:2" x14ac:dyDescent="0.25">
      <c r="A116" t="s">
        <v>108</v>
      </c>
      <c r="B116" s="9" t="e">
        <f>t8casecount</f>
        <v>#REF!</v>
      </c>
    </row>
    <row r="117" spans="1:2" x14ac:dyDescent="0.25">
      <c r="A117" t="s">
        <v>109</v>
      </c>
      <c r="B117" s="12" t="e">
        <f>t8yobgpercap</f>
        <v>#REF!</v>
      </c>
    </row>
    <row r="118" spans="1:2" x14ac:dyDescent="0.25">
      <c r="A118" t="s">
        <v>110</v>
      </c>
      <c r="B118" s="12" t="e">
        <f>t8totpercap</f>
        <v>#REF!</v>
      </c>
    </row>
    <row r="119" spans="1:2" x14ac:dyDescent="0.25">
      <c r="A119" t="s">
        <v>111</v>
      </c>
      <c r="B119" s="9" t="e">
        <f>t8youth1</f>
        <v>#REF!</v>
      </c>
    </row>
    <row r="120" spans="1:2" x14ac:dyDescent="0.25">
      <c r="A120" t="s">
        <v>112</v>
      </c>
      <c r="B120" s="9" t="e">
        <f>t8youth2</f>
        <v>#REF!</v>
      </c>
    </row>
    <row r="121" spans="1:2" x14ac:dyDescent="0.25">
      <c r="A121" t="s">
        <v>113</v>
      </c>
      <c r="B121" s="9" t="e">
        <f>t8youth3</f>
        <v>#REF!</v>
      </c>
    </row>
    <row r="122" spans="1:2" x14ac:dyDescent="0.25">
      <c r="A122" t="s">
        <v>114</v>
      </c>
      <c r="B122" s="9" t="e">
        <f>t8youth4</f>
        <v>#REF!</v>
      </c>
    </row>
    <row r="123" spans="1:2" x14ac:dyDescent="0.25">
      <c r="A123" t="s">
        <v>233</v>
      </c>
      <c r="B123" s="9" t="e">
        <f>t8youth5</f>
        <v>#REF!</v>
      </c>
    </row>
    <row r="124" spans="1:2" x14ac:dyDescent="0.25">
      <c r="A124" t="s">
        <v>234</v>
      </c>
      <c r="B124" s="9" t="e">
        <f>t8youth6</f>
        <v>#REF!</v>
      </c>
    </row>
    <row r="125" spans="1:2" x14ac:dyDescent="0.25">
      <c r="A125" t="s">
        <v>115</v>
      </c>
      <c r="B125" s="13" t="e">
        <f>Numecodet9</f>
        <v>#REF!</v>
      </c>
    </row>
    <row r="126" spans="1:2" x14ac:dyDescent="0.25">
      <c r="A126" t="s">
        <v>117</v>
      </c>
      <c r="B126" s="10" t="e">
        <f>Numealtt9</f>
        <v>#REF!</v>
      </c>
    </row>
    <row r="127" spans="1:2" x14ac:dyDescent="0.25">
      <c r="A127" t="s">
        <v>118</v>
      </c>
      <c r="B127" s="11" t="e">
        <f>t9yobgsal</f>
        <v>#REF!</v>
      </c>
    </row>
    <row r="128" spans="1:2" x14ac:dyDescent="0.25">
      <c r="A128" t="s">
        <v>119</v>
      </c>
      <c r="B128" s="11" t="e">
        <f>t9yobgserv</f>
        <v>#REF!</v>
      </c>
    </row>
    <row r="129" spans="1:2" x14ac:dyDescent="0.25">
      <c r="A129" t="s">
        <v>120</v>
      </c>
      <c r="B129" s="11" t="e">
        <f>t9yobgprof</f>
        <v>#REF!</v>
      </c>
    </row>
    <row r="130" spans="1:2" x14ac:dyDescent="0.25">
      <c r="A130" t="s">
        <v>121</v>
      </c>
      <c r="B130" s="11" t="e">
        <f>t9yobgcbo</f>
        <v>#REF!</v>
      </c>
    </row>
    <row r="131" spans="1:2" x14ac:dyDescent="0.25">
      <c r="A131" t="s">
        <v>122</v>
      </c>
      <c r="B131" s="11" t="e">
        <f>t9yobgequip</f>
        <v>#REF!</v>
      </c>
    </row>
    <row r="132" spans="1:2" x14ac:dyDescent="0.25">
      <c r="A132" t="s">
        <v>123</v>
      </c>
      <c r="B132" s="11" t="e">
        <f>t9yobgadmin</f>
        <v>#REF!</v>
      </c>
    </row>
    <row r="133" spans="1:2" x14ac:dyDescent="0.25">
      <c r="A133" t="s">
        <v>124</v>
      </c>
      <c r="B133" s="11" t="e">
        <f>t9yobgothr1</f>
        <v>#REF!</v>
      </c>
    </row>
    <row r="134" spans="1:2" x14ac:dyDescent="0.25">
      <c r="A134" t="s">
        <v>125</v>
      </c>
      <c r="B134" s="11" t="e">
        <f>t9yobgothr2</f>
        <v>#REF!</v>
      </c>
    </row>
    <row r="135" spans="1:2" x14ac:dyDescent="0.25">
      <c r="A135" t="s">
        <v>126</v>
      </c>
      <c r="B135" s="11" t="e">
        <f>t9yobgothr3</f>
        <v>#REF!</v>
      </c>
    </row>
    <row r="136" spans="1:2" x14ac:dyDescent="0.25">
      <c r="A136" t="s">
        <v>127</v>
      </c>
      <c r="B136" s="11" t="e">
        <f>t9yobgtot</f>
        <v>#REF!</v>
      </c>
    </row>
    <row r="137" spans="1:2" x14ac:dyDescent="0.25">
      <c r="A137" t="s">
        <v>128</v>
      </c>
      <c r="B137" s="11" t="e">
        <f>t9jjcpasal</f>
        <v>#REF!</v>
      </c>
    </row>
    <row r="138" spans="1:2" x14ac:dyDescent="0.25">
      <c r="A138" t="s">
        <v>129</v>
      </c>
      <c r="B138" s="11" t="e">
        <f>t9jjcpaserv</f>
        <v>#REF!</v>
      </c>
    </row>
    <row r="139" spans="1:2" x14ac:dyDescent="0.25">
      <c r="A139" t="s">
        <v>130</v>
      </c>
      <c r="B139" s="11" t="e">
        <f>t9jjcpaprof</f>
        <v>#REF!</v>
      </c>
    </row>
    <row r="140" spans="1:2" x14ac:dyDescent="0.25">
      <c r="A140" t="s">
        <v>131</v>
      </c>
      <c r="B140" s="11" t="e">
        <f>t9jjcpacbo</f>
        <v>#REF!</v>
      </c>
    </row>
    <row r="141" spans="1:2" x14ac:dyDescent="0.25">
      <c r="A141" t="s">
        <v>132</v>
      </c>
      <c r="B141" s="11" t="e">
        <f>t9jjcpaequip</f>
        <v>#REF!</v>
      </c>
    </row>
    <row r="142" spans="1:2" x14ac:dyDescent="0.25">
      <c r="A142" t="s">
        <v>133</v>
      </c>
      <c r="B142" s="11" t="e">
        <f>t9jjcpaadmin</f>
        <v>#REF!</v>
      </c>
    </row>
    <row r="143" spans="1:2" x14ac:dyDescent="0.25">
      <c r="A143" t="s">
        <v>134</v>
      </c>
      <c r="B143" s="11" t="e">
        <f>t9jjcpaothr1</f>
        <v>#REF!</v>
      </c>
    </row>
    <row r="144" spans="1:2" x14ac:dyDescent="0.25">
      <c r="A144" t="s">
        <v>135</v>
      </c>
      <c r="B144" s="11" t="e">
        <f>t9jjcpaothr2</f>
        <v>#REF!</v>
      </c>
    </row>
    <row r="145" spans="1:2" x14ac:dyDescent="0.25">
      <c r="A145" t="s">
        <v>136</v>
      </c>
      <c r="B145" s="11" t="e">
        <f>t9jjcpaothr3</f>
        <v>#REF!</v>
      </c>
    </row>
    <row r="146" spans="1:2" x14ac:dyDescent="0.25">
      <c r="A146" t="s">
        <v>137</v>
      </c>
      <c r="B146" s="11" t="e">
        <f>t9jjcpatot</f>
        <v>#REF!</v>
      </c>
    </row>
    <row r="147" spans="1:2" x14ac:dyDescent="0.25">
      <c r="A147" t="s">
        <v>138</v>
      </c>
      <c r="B147" s="11" t="e">
        <f>t9othersal</f>
        <v>#REF!</v>
      </c>
    </row>
    <row r="148" spans="1:2" x14ac:dyDescent="0.25">
      <c r="A148" t="s">
        <v>139</v>
      </c>
      <c r="B148" s="11" t="e">
        <f>t9otherserv</f>
        <v>#REF!</v>
      </c>
    </row>
    <row r="149" spans="1:2" x14ac:dyDescent="0.25">
      <c r="A149" t="s">
        <v>140</v>
      </c>
      <c r="B149" s="11" t="e">
        <f>t9otherprof</f>
        <v>#REF!</v>
      </c>
    </row>
    <row r="150" spans="1:2" x14ac:dyDescent="0.25">
      <c r="A150" t="s">
        <v>141</v>
      </c>
      <c r="B150" s="11" t="e">
        <f>t9othercbo</f>
        <v>#REF!</v>
      </c>
    </row>
    <row r="151" spans="1:2" x14ac:dyDescent="0.25">
      <c r="A151" t="s">
        <v>142</v>
      </c>
      <c r="B151" s="11" t="e">
        <f>t9otherequip</f>
        <v>#REF!</v>
      </c>
    </row>
    <row r="152" spans="1:2" x14ac:dyDescent="0.25">
      <c r="A152" t="s">
        <v>143</v>
      </c>
      <c r="B152" s="11" t="e">
        <f>t9otheradmin</f>
        <v>#REF!</v>
      </c>
    </row>
    <row r="153" spans="1:2" x14ac:dyDescent="0.25">
      <c r="A153" t="s">
        <v>144</v>
      </c>
      <c r="B153" s="11" t="e">
        <f>t9otherothr1</f>
        <v>#REF!</v>
      </c>
    </row>
    <row r="154" spans="1:2" x14ac:dyDescent="0.25">
      <c r="A154" t="s">
        <v>145</v>
      </c>
      <c r="B154" s="11" t="e">
        <f>t9otherothr2</f>
        <v>#REF!</v>
      </c>
    </row>
    <row r="155" spans="1:2" x14ac:dyDescent="0.25">
      <c r="A155" t="s">
        <v>146</v>
      </c>
      <c r="B155" s="11" t="e">
        <f>t9otherothr3</f>
        <v>#REF!</v>
      </c>
    </row>
    <row r="156" spans="1:2" x14ac:dyDescent="0.25">
      <c r="A156" t="s">
        <v>147</v>
      </c>
      <c r="B156" s="11" t="e">
        <f>t9othertot</f>
        <v>#REF!</v>
      </c>
    </row>
    <row r="157" spans="1:2" x14ac:dyDescent="0.25">
      <c r="A157" t="s">
        <v>148</v>
      </c>
      <c r="B157" s="9" t="e">
        <f>t9casecount</f>
        <v>#REF!</v>
      </c>
    </row>
    <row r="158" spans="1:2" x14ac:dyDescent="0.25">
      <c r="A158" t="s">
        <v>149</v>
      </c>
      <c r="B158" s="12" t="e">
        <f>t9yobgpercap</f>
        <v>#REF!</v>
      </c>
    </row>
    <row r="159" spans="1:2" x14ac:dyDescent="0.25">
      <c r="A159" t="s">
        <v>150</v>
      </c>
      <c r="B159" s="12" t="e">
        <f>t9totpercap</f>
        <v>#REF!</v>
      </c>
    </row>
    <row r="160" spans="1:2" x14ac:dyDescent="0.25">
      <c r="A160" t="s">
        <v>153</v>
      </c>
      <c r="B160" s="9" t="e">
        <f>t9youth1</f>
        <v>#REF!</v>
      </c>
    </row>
    <row r="161" spans="1:2" x14ac:dyDescent="0.25">
      <c r="A161" t="s">
        <v>154</v>
      </c>
      <c r="B161" s="9" t="e">
        <f>t9youth2</f>
        <v>#REF!</v>
      </c>
    </row>
    <row r="162" spans="1:2" x14ac:dyDescent="0.25">
      <c r="A162" t="s">
        <v>155</v>
      </c>
      <c r="B162" s="9" t="e">
        <f>t9youth3</f>
        <v>#REF!</v>
      </c>
    </row>
    <row r="163" spans="1:2" x14ac:dyDescent="0.25">
      <c r="A163" t="s">
        <v>156</v>
      </c>
      <c r="B163" s="9" t="e">
        <f>t9youth4</f>
        <v>#REF!</v>
      </c>
    </row>
    <row r="164" spans="1:2" x14ac:dyDescent="0.25">
      <c r="A164" t="s">
        <v>235</v>
      </c>
      <c r="B164" s="9" t="e">
        <f>t9youth5</f>
        <v>#REF!</v>
      </c>
    </row>
    <row r="165" spans="1:2" x14ac:dyDescent="0.25">
      <c r="A165" t="s">
        <v>236</v>
      </c>
      <c r="B165" s="9" t="e">
        <f>t9youth6</f>
        <v>#REF!</v>
      </c>
    </row>
    <row r="166" spans="1:2" x14ac:dyDescent="0.25">
      <c r="A166" t="s">
        <v>158</v>
      </c>
      <c r="B166" s="13" t="e">
        <f>Numecodet10</f>
        <v>#REF!</v>
      </c>
    </row>
    <row r="167" spans="1:2" x14ac:dyDescent="0.25">
      <c r="A167" t="s">
        <v>189</v>
      </c>
      <c r="B167" s="10" t="e">
        <f>Numealtt10</f>
        <v>#REF!</v>
      </c>
    </row>
    <row r="168" spans="1:2" x14ac:dyDescent="0.25">
      <c r="A168" t="s">
        <v>328</v>
      </c>
      <c r="B168" s="11" t="e">
        <f>t10yobgsal</f>
        <v>#REF!</v>
      </c>
    </row>
    <row r="169" spans="1:2" x14ac:dyDescent="0.25">
      <c r="A169" t="s">
        <v>329</v>
      </c>
      <c r="B169" s="11" t="e">
        <f>t10yobgserv</f>
        <v>#REF!</v>
      </c>
    </row>
    <row r="170" spans="1:2" x14ac:dyDescent="0.25">
      <c r="A170" t="s">
        <v>330</v>
      </c>
      <c r="B170" s="11" t="e">
        <f>t10yobgprof</f>
        <v>#REF!</v>
      </c>
    </row>
    <row r="171" spans="1:2" x14ac:dyDescent="0.25">
      <c r="A171" t="s">
        <v>331</v>
      </c>
      <c r="B171" s="11" t="e">
        <f>t10yobgcbo</f>
        <v>#REF!</v>
      </c>
    </row>
    <row r="172" spans="1:2" x14ac:dyDescent="0.25">
      <c r="A172" t="s">
        <v>332</v>
      </c>
      <c r="B172" s="11" t="e">
        <f>t10yobgequip</f>
        <v>#REF!</v>
      </c>
    </row>
    <row r="173" spans="1:2" x14ac:dyDescent="0.25">
      <c r="A173" t="s">
        <v>333</v>
      </c>
      <c r="B173" s="11" t="e">
        <f>t10yobgadmin</f>
        <v>#REF!</v>
      </c>
    </row>
    <row r="174" spans="1:2" x14ac:dyDescent="0.25">
      <c r="A174" t="s">
        <v>334</v>
      </c>
      <c r="B174" s="11" t="e">
        <f>t10yobgothr1</f>
        <v>#REF!</v>
      </c>
    </row>
    <row r="175" spans="1:2" x14ac:dyDescent="0.25">
      <c r="A175" t="s">
        <v>335</v>
      </c>
      <c r="B175" s="11" t="e">
        <f>t10yobgothr2</f>
        <v>#REF!</v>
      </c>
    </row>
    <row r="176" spans="1:2" x14ac:dyDescent="0.25">
      <c r="A176" t="s">
        <v>336</v>
      </c>
      <c r="B176" s="11" t="e">
        <f>t10yobgothr3</f>
        <v>#REF!</v>
      </c>
    </row>
    <row r="177" spans="1:2" x14ac:dyDescent="0.25">
      <c r="A177" t="s">
        <v>337</v>
      </c>
      <c r="B177" s="11" t="e">
        <f>t10yobgtot</f>
        <v>#REF!</v>
      </c>
    </row>
    <row r="178" spans="1:2" x14ac:dyDescent="0.25">
      <c r="A178" t="s">
        <v>338</v>
      </c>
      <c r="B178" s="11" t="e">
        <f>t10jjcpasal</f>
        <v>#REF!</v>
      </c>
    </row>
    <row r="179" spans="1:2" x14ac:dyDescent="0.25">
      <c r="A179" t="s">
        <v>339</v>
      </c>
      <c r="B179" s="11" t="e">
        <f>t10jjcpaserv</f>
        <v>#REF!</v>
      </c>
    </row>
    <row r="180" spans="1:2" x14ac:dyDescent="0.25">
      <c r="A180" t="s">
        <v>340</v>
      </c>
      <c r="B180" s="11" t="e">
        <f>t10jjcpaprof</f>
        <v>#REF!</v>
      </c>
    </row>
    <row r="181" spans="1:2" x14ac:dyDescent="0.25">
      <c r="A181" t="s">
        <v>341</v>
      </c>
      <c r="B181" s="11" t="e">
        <f>t10jjcpacbo</f>
        <v>#REF!</v>
      </c>
    </row>
    <row r="182" spans="1:2" x14ac:dyDescent="0.25">
      <c r="A182" t="s">
        <v>342</v>
      </c>
      <c r="B182" s="11" t="e">
        <f>t10jjcpaequip</f>
        <v>#REF!</v>
      </c>
    </row>
    <row r="183" spans="1:2" x14ac:dyDescent="0.25">
      <c r="A183" t="s">
        <v>343</v>
      </c>
      <c r="B183" s="11" t="e">
        <f>t10jjcpaadmin</f>
        <v>#REF!</v>
      </c>
    </row>
    <row r="184" spans="1:2" x14ac:dyDescent="0.25">
      <c r="A184" t="s">
        <v>344</v>
      </c>
      <c r="B184" s="11" t="e">
        <f>t10jjcpaothr1</f>
        <v>#REF!</v>
      </c>
    </row>
    <row r="185" spans="1:2" x14ac:dyDescent="0.25">
      <c r="A185" t="s">
        <v>345</v>
      </c>
      <c r="B185" s="11" t="e">
        <f>t10jjcpaothr2</f>
        <v>#REF!</v>
      </c>
    </row>
    <row r="186" spans="1:2" x14ac:dyDescent="0.25">
      <c r="A186" t="s">
        <v>346</v>
      </c>
      <c r="B186" s="11" t="e">
        <f>t10jjcpaothr3</f>
        <v>#REF!</v>
      </c>
    </row>
    <row r="187" spans="1:2" x14ac:dyDescent="0.25">
      <c r="A187" t="s">
        <v>347</v>
      </c>
      <c r="B187" s="11" t="e">
        <f>t10jjcpatot</f>
        <v>#REF!</v>
      </c>
    </row>
    <row r="188" spans="1:2" x14ac:dyDescent="0.25">
      <c r="A188" t="s">
        <v>348</v>
      </c>
      <c r="B188" s="11" t="e">
        <f>t10othersal</f>
        <v>#REF!</v>
      </c>
    </row>
    <row r="189" spans="1:2" x14ac:dyDescent="0.25">
      <c r="A189" t="s">
        <v>349</v>
      </c>
      <c r="B189" s="11" t="e">
        <f>t10otherserv</f>
        <v>#REF!</v>
      </c>
    </row>
    <row r="190" spans="1:2" x14ac:dyDescent="0.25">
      <c r="A190" t="s">
        <v>350</v>
      </c>
      <c r="B190" s="11" t="e">
        <f>t10otherprof</f>
        <v>#REF!</v>
      </c>
    </row>
    <row r="191" spans="1:2" x14ac:dyDescent="0.25">
      <c r="A191" t="s">
        <v>351</v>
      </c>
      <c r="B191" s="11" t="e">
        <f>t10othercbo</f>
        <v>#REF!</v>
      </c>
    </row>
    <row r="192" spans="1:2" x14ac:dyDescent="0.25">
      <c r="A192" t="s">
        <v>352</v>
      </c>
      <c r="B192" s="11" t="e">
        <f>t10otherequip</f>
        <v>#REF!</v>
      </c>
    </row>
    <row r="193" spans="1:2" x14ac:dyDescent="0.25">
      <c r="A193" t="s">
        <v>353</v>
      </c>
      <c r="B193" s="11" t="e">
        <f>t10otheradmin</f>
        <v>#REF!</v>
      </c>
    </row>
    <row r="194" spans="1:2" x14ac:dyDescent="0.25">
      <c r="A194" t="s">
        <v>354</v>
      </c>
      <c r="B194" s="11" t="e">
        <f>t10otherothr1</f>
        <v>#REF!</v>
      </c>
    </row>
    <row r="195" spans="1:2" x14ac:dyDescent="0.25">
      <c r="A195" t="s">
        <v>355</v>
      </c>
      <c r="B195" s="11" t="e">
        <f>t10otherothr2</f>
        <v>#REF!</v>
      </c>
    </row>
    <row r="196" spans="1:2" x14ac:dyDescent="0.25">
      <c r="A196" t="s">
        <v>356</v>
      </c>
      <c r="B196" s="11" t="e">
        <f>t10otherothr3</f>
        <v>#REF!</v>
      </c>
    </row>
    <row r="197" spans="1:2" x14ac:dyDescent="0.25">
      <c r="A197" t="s">
        <v>357</v>
      </c>
      <c r="B197" s="11" t="e">
        <f>t10othertot</f>
        <v>#REF!</v>
      </c>
    </row>
    <row r="198" spans="1:2" x14ac:dyDescent="0.25">
      <c r="A198" t="s">
        <v>358</v>
      </c>
      <c r="B198" s="9" t="e">
        <f>t10casecount</f>
        <v>#REF!</v>
      </c>
    </row>
    <row r="199" spans="1:2" x14ac:dyDescent="0.25">
      <c r="A199" t="s">
        <v>157</v>
      </c>
      <c r="B199" s="12" t="e">
        <f>t10yobgpercap</f>
        <v>#REF!</v>
      </c>
    </row>
    <row r="200" spans="1:2" x14ac:dyDescent="0.25">
      <c r="A200" t="s">
        <v>359</v>
      </c>
      <c r="B200" s="12" t="e">
        <f>t10totpercap</f>
        <v>#REF!</v>
      </c>
    </row>
    <row r="201" spans="1:2" x14ac:dyDescent="0.25">
      <c r="A201" t="s">
        <v>361</v>
      </c>
      <c r="B201" s="9" t="e">
        <f>t10youth1</f>
        <v>#REF!</v>
      </c>
    </row>
    <row r="202" spans="1:2" x14ac:dyDescent="0.25">
      <c r="A202" t="s">
        <v>362</v>
      </c>
      <c r="B202" s="9" t="e">
        <f>t10youth2</f>
        <v>#REF!</v>
      </c>
    </row>
    <row r="203" spans="1:2" x14ac:dyDescent="0.25">
      <c r="A203" t="s">
        <v>363</v>
      </c>
      <c r="B203" s="9" t="e">
        <f>t10youth3</f>
        <v>#REF!</v>
      </c>
    </row>
    <row r="204" spans="1:2" x14ac:dyDescent="0.25">
      <c r="A204" t="s">
        <v>364</v>
      </c>
      <c r="B204" s="9" t="e">
        <f>t10youth4</f>
        <v>#REF!</v>
      </c>
    </row>
    <row r="205" spans="1:2" x14ac:dyDescent="0.25">
      <c r="A205" t="s">
        <v>237</v>
      </c>
      <c r="B205" s="9" t="e">
        <f>t10youth5</f>
        <v>#REF!</v>
      </c>
    </row>
    <row r="206" spans="1:2" x14ac:dyDescent="0.25">
      <c r="A206" t="s">
        <v>238</v>
      </c>
      <c r="B206" s="9" t="e">
        <f>t10youth6</f>
        <v>#REF!</v>
      </c>
    </row>
    <row r="207" spans="1:2" x14ac:dyDescent="0.25">
      <c r="A207" t="s">
        <v>239</v>
      </c>
      <c r="B207" s="9">
        <f>asi</f>
        <v>0</v>
      </c>
    </row>
    <row r="208" spans="1:2" x14ac:dyDescent="0.25">
      <c r="A208" t="s">
        <v>370</v>
      </c>
      <c r="B208" s="9">
        <f>bot</f>
        <v>0</v>
      </c>
    </row>
    <row r="209" spans="1:2" x14ac:dyDescent="0.25">
      <c r="A209" t="s">
        <v>240</v>
      </c>
      <c r="B209" s="9">
        <f>COMPAS</f>
        <v>0</v>
      </c>
    </row>
    <row r="210" spans="1:2" x14ac:dyDescent="0.25">
      <c r="A210" t="s">
        <v>241</v>
      </c>
      <c r="B210" s="9">
        <f>JAIS</f>
        <v>0</v>
      </c>
    </row>
    <row r="211" spans="1:2" x14ac:dyDescent="0.25">
      <c r="A211" t="s">
        <v>242</v>
      </c>
      <c r="B211" s="9">
        <f>LSIR</f>
        <v>0</v>
      </c>
    </row>
    <row r="212" spans="1:2" x14ac:dyDescent="0.25">
      <c r="A212" t="s">
        <v>243</v>
      </c>
      <c r="B212" s="9">
        <f>MAYSI2</f>
        <v>0</v>
      </c>
    </row>
    <row r="213" spans="1:2" x14ac:dyDescent="0.25">
      <c r="A213" t="s">
        <v>244</v>
      </c>
      <c r="B213" s="9">
        <f>MAYSI</f>
        <v>0</v>
      </c>
    </row>
    <row r="214" spans="1:2" x14ac:dyDescent="0.25">
      <c r="A214" t="s">
        <v>245</v>
      </c>
      <c r="B214" s="9">
        <f>NIC</f>
        <v>0</v>
      </c>
    </row>
    <row r="215" spans="1:2" x14ac:dyDescent="0.25">
      <c r="A215" t="s">
        <v>246</v>
      </c>
      <c r="B215" s="9">
        <f>PACT</f>
        <v>0</v>
      </c>
    </row>
    <row r="216" spans="1:2" x14ac:dyDescent="0.25">
      <c r="A216" t="s">
        <v>247</v>
      </c>
      <c r="B216" s="9">
        <f>RRC</f>
        <v>0</v>
      </c>
    </row>
    <row r="217" spans="1:2" x14ac:dyDescent="0.25">
      <c r="A217" t="s">
        <v>248</v>
      </c>
      <c r="B217" s="9">
        <f>YLSCMI</f>
        <v>0</v>
      </c>
    </row>
    <row r="218" spans="1:2" x14ac:dyDescent="0.25">
      <c r="A218" t="s">
        <v>249</v>
      </c>
      <c r="B218" s="9">
        <f>othrassessmentname1</f>
        <v>0</v>
      </c>
    </row>
    <row r="219" spans="1:2" x14ac:dyDescent="0.25">
      <c r="A219" t="s">
        <v>253</v>
      </c>
      <c r="B219" s="9">
        <f>othrassess1</f>
        <v>0</v>
      </c>
    </row>
    <row r="220" spans="1:2" x14ac:dyDescent="0.25">
      <c r="A220" t="s">
        <v>251</v>
      </c>
      <c r="B220" s="9">
        <f>othrassessmentname2</f>
        <v>0</v>
      </c>
    </row>
    <row r="221" spans="1:2" x14ac:dyDescent="0.25">
      <c r="A221" t="s">
        <v>254</v>
      </c>
      <c r="B221" s="9">
        <f>othrassess2</f>
        <v>0</v>
      </c>
    </row>
    <row r="222" spans="1:2" x14ac:dyDescent="0.25">
      <c r="A222" t="s">
        <v>252</v>
      </c>
      <c r="B222" s="9">
        <f>othrassessmentname3</f>
        <v>0</v>
      </c>
    </row>
    <row r="223" spans="1:2" x14ac:dyDescent="0.25">
      <c r="A223" t="s">
        <v>255</v>
      </c>
      <c r="B223" s="9">
        <f>othrassess3</f>
        <v>0</v>
      </c>
    </row>
    <row r="224" spans="1:2" x14ac:dyDescent="0.25">
      <c r="A224" t="s">
        <v>211</v>
      </c>
      <c r="B224" s="9">
        <f>othrassessmentname4</f>
        <v>0</v>
      </c>
    </row>
    <row r="225" spans="1:2" x14ac:dyDescent="0.25">
      <c r="A225" t="s">
        <v>212</v>
      </c>
      <c r="B225" s="9">
        <f>othrassess4</f>
        <v>0</v>
      </c>
    </row>
  </sheetData>
  <sheetProtection password="CB13" sheet="1" objects="1" scenarios="1"/>
  <phoneticPr fontId="2"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B210"/>
  <sheetViews>
    <sheetView workbookViewId="0">
      <selection activeCell="H26" sqref="H26:I26"/>
    </sheetView>
  </sheetViews>
  <sheetFormatPr defaultRowHeight="13.2" x14ac:dyDescent="0.25"/>
  <cols>
    <col min="1" max="1" width="37.77734375" customWidth="1"/>
    <col min="2" max="2" width="41.5546875" customWidth="1"/>
  </cols>
  <sheetData>
    <row r="1" spans="1:2" x14ac:dyDescent="0.25">
      <c r="A1" t="s">
        <v>539</v>
      </c>
      <c r="B1" s="23" t="str">
        <f>County</f>
        <v>Fresno</v>
      </c>
    </row>
    <row r="2" spans="1:2" x14ac:dyDescent="0.25">
      <c r="A2" t="s">
        <v>261</v>
      </c>
      <c r="B2" s="9">
        <f>coord1</f>
        <v>0</v>
      </c>
    </row>
    <row r="3" spans="1:2" x14ac:dyDescent="0.25">
      <c r="A3" t="s">
        <v>260</v>
      </c>
      <c r="B3" s="9">
        <f>coord2</f>
        <v>0</v>
      </c>
    </row>
    <row r="4" spans="1:2" x14ac:dyDescent="0.25">
      <c r="A4" s="1" t="s">
        <v>256</v>
      </c>
      <c r="B4" s="31">
        <f>strategy</f>
        <v>0</v>
      </c>
    </row>
    <row r="5" spans="1:2" x14ac:dyDescent="0.25">
      <c r="A5" s="1" t="s">
        <v>257</v>
      </c>
      <c r="B5" s="31">
        <f>stratnar</f>
        <v>0</v>
      </c>
    </row>
    <row r="6" spans="1:2" x14ac:dyDescent="0.25">
      <c r="A6" s="1" t="s">
        <v>258</v>
      </c>
      <c r="B6" s="31">
        <f>stratdf</f>
        <v>0</v>
      </c>
    </row>
    <row r="7" spans="1:2" x14ac:dyDescent="0.25">
      <c r="A7" s="1" t="s">
        <v>259</v>
      </c>
      <c r="B7" s="31">
        <f>stratplan</f>
        <v>0</v>
      </c>
    </row>
    <row r="8" spans="1:2" x14ac:dyDescent="0.25">
      <c r="A8" s="1" t="s">
        <v>263</v>
      </c>
      <c r="B8" s="31">
        <f>coordnar</f>
        <v>0</v>
      </c>
    </row>
    <row r="9" spans="1:2" x14ac:dyDescent="0.25">
      <c r="A9" s="1" t="s">
        <v>262</v>
      </c>
      <c r="B9" s="1">
        <f>regional</f>
        <v>0</v>
      </c>
    </row>
    <row r="10" spans="1:2" x14ac:dyDescent="0.25">
      <c r="A10" t="s">
        <v>585</v>
      </c>
      <c r="B10" s="10" t="e">
        <f>Numecodet1</f>
        <v>#REF!</v>
      </c>
    </row>
    <row r="11" spans="1:2" x14ac:dyDescent="0.25">
      <c r="A11" t="s">
        <v>586</v>
      </c>
      <c r="B11" s="10" t="e">
        <f>Numealtt1</f>
        <v>#REF!</v>
      </c>
    </row>
    <row r="12" spans="1:2" x14ac:dyDescent="0.25">
      <c r="A12" t="s">
        <v>301</v>
      </c>
      <c r="B12" s="10" t="e">
        <f>JJCPAt1</f>
        <v>#REF!</v>
      </c>
    </row>
    <row r="13" spans="1:2" x14ac:dyDescent="0.25">
      <c r="A13" t="s">
        <v>302</v>
      </c>
      <c r="B13" s="10" t="e">
        <f>Othert1</f>
        <v>#REF!</v>
      </c>
    </row>
    <row r="14" spans="1:2" x14ac:dyDescent="0.25">
      <c r="A14" t="s">
        <v>574</v>
      </c>
      <c r="B14" s="9" t="e">
        <f>t1casecount</f>
        <v>#REF!</v>
      </c>
    </row>
    <row r="15" spans="1:2" x14ac:dyDescent="0.25">
      <c r="A15" t="s">
        <v>575</v>
      </c>
      <c r="B15" s="12" t="e">
        <f>t1yobgpercap</f>
        <v>#REF!</v>
      </c>
    </row>
    <row r="16" spans="1:2" x14ac:dyDescent="0.25">
      <c r="A16" t="s">
        <v>576</v>
      </c>
      <c r="B16" s="12" t="e">
        <f>t1totpercap</f>
        <v>#REF!</v>
      </c>
    </row>
    <row r="17" spans="1:2" x14ac:dyDescent="0.25">
      <c r="A17" t="s">
        <v>577</v>
      </c>
      <c r="B17" t="e">
        <f>t1nar</f>
        <v>#REF!</v>
      </c>
    </row>
    <row r="18" spans="1:2" x14ac:dyDescent="0.25">
      <c r="A18" t="s">
        <v>215</v>
      </c>
      <c r="B18" t="e">
        <f>t1goal</f>
        <v>#REF!</v>
      </c>
    </row>
    <row r="19" spans="1:2" x14ac:dyDescent="0.25">
      <c r="A19" t="s">
        <v>286</v>
      </c>
      <c r="B19" t="e">
        <f>t1barrier</f>
        <v>#REF!</v>
      </c>
    </row>
    <row r="20" spans="1:2" x14ac:dyDescent="0.25">
      <c r="A20" t="s">
        <v>216</v>
      </c>
      <c r="B20" t="e">
        <f>t1funds</f>
        <v>#REF!</v>
      </c>
    </row>
    <row r="21" spans="1:2" x14ac:dyDescent="0.25">
      <c r="A21" t="s">
        <v>159</v>
      </c>
      <c r="B21">
        <f>t1other1</f>
        <v>0</v>
      </c>
    </row>
    <row r="22" spans="1:2" x14ac:dyDescent="0.25">
      <c r="A22" t="s">
        <v>160</v>
      </c>
      <c r="B22">
        <f>t1other2</f>
        <v>0</v>
      </c>
    </row>
    <row r="23" spans="1:2" x14ac:dyDescent="0.25">
      <c r="A23" t="s">
        <v>161</v>
      </c>
      <c r="B23">
        <f>t1other3</f>
        <v>0</v>
      </c>
    </row>
    <row r="24" spans="1:2" x14ac:dyDescent="0.25">
      <c r="A24" t="s">
        <v>587</v>
      </c>
      <c r="B24" s="13" t="e">
        <f>Numecodet2</f>
        <v>#REF!</v>
      </c>
    </row>
    <row r="25" spans="1:2" x14ac:dyDescent="0.25">
      <c r="A25" t="s">
        <v>588</v>
      </c>
      <c r="B25" s="10" t="e">
        <f>Numealtt2</f>
        <v>#REF!</v>
      </c>
    </row>
    <row r="26" spans="1:2" x14ac:dyDescent="0.25">
      <c r="A26" t="s">
        <v>303</v>
      </c>
      <c r="B26" s="10" t="e">
        <f>JJCPAt2</f>
        <v>#REF!</v>
      </c>
    </row>
    <row r="27" spans="1:2" x14ac:dyDescent="0.25">
      <c r="A27" t="s">
        <v>304</v>
      </c>
      <c r="B27" s="10" t="e">
        <f>Othert2</f>
        <v>#REF!</v>
      </c>
    </row>
    <row r="28" spans="1:2" x14ac:dyDescent="0.25">
      <c r="A28" t="s">
        <v>619</v>
      </c>
      <c r="B28" s="9" t="e">
        <f>t2casecount</f>
        <v>#REF!</v>
      </c>
    </row>
    <row r="29" spans="1:2" x14ac:dyDescent="0.25">
      <c r="A29" t="s">
        <v>620</v>
      </c>
      <c r="B29" s="12" t="e">
        <f>t2yobgpercap</f>
        <v>#REF!</v>
      </c>
    </row>
    <row r="30" spans="1:2" x14ac:dyDescent="0.25">
      <c r="A30" t="s">
        <v>621</v>
      </c>
      <c r="B30" s="12" t="e">
        <f>t2totpercap</f>
        <v>#REF!</v>
      </c>
    </row>
    <row r="31" spans="1:2" x14ac:dyDescent="0.25">
      <c r="A31" t="s">
        <v>661</v>
      </c>
      <c r="B31" t="e">
        <f>t2nar</f>
        <v>#REF!</v>
      </c>
    </row>
    <row r="32" spans="1:2" x14ac:dyDescent="0.25">
      <c r="A32" t="s">
        <v>267</v>
      </c>
      <c r="B32" t="e">
        <f>t2goal</f>
        <v>#REF!</v>
      </c>
    </row>
    <row r="33" spans="1:2" x14ac:dyDescent="0.25">
      <c r="A33" t="s">
        <v>287</v>
      </c>
      <c r="B33" t="e">
        <f>t2barrier</f>
        <v>#REF!</v>
      </c>
    </row>
    <row r="34" spans="1:2" x14ac:dyDescent="0.25">
      <c r="A34" t="s">
        <v>268</v>
      </c>
      <c r="B34" t="e">
        <f>t2funds</f>
        <v>#REF!</v>
      </c>
    </row>
    <row r="35" spans="1:2" x14ac:dyDescent="0.25">
      <c r="A35" t="s">
        <v>162</v>
      </c>
      <c r="B35" t="e">
        <f>t2other1</f>
        <v>#REF!</v>
      </c>
    </row>
    <row r="36" spans="1:2" x14ac:dyDescent="0.25">
      <c r="A36" t="s">
        <v>163</v>
      </c>
      <c r="B36" t="e">
        <f>t2other2</f>
        <v>#REF!</v>
      </c>
    </row>
    <row r="37" spans="1:2" x14ac:dyDescent="0.25">
      <c r="A37" t="s">
        <v>164</v>
      </c>
      <c r="B37" t="e">
        <f>t2other3</f>
        <v>#REF!</v>
      </c>
    </row>
    <row r="38" spans="1:2" x14ac:dyDescent="0.25">
      <c r="A38" t="s">
        <v>626</v>
      </c>
      <c r="B38" s="13" t="e">
        <f>Numecodet3</f>
        <v>#REF!</v>
      </c>
    </row>
    <row r="39" spans="1:2" x14ac:dyDescent="0.25">
      <c r="A39" t="s">
        <v>627</v>
      </c>
      <c r="B39" s="10" t="e">
        <f>Numealtt3</f>
        <v>#REF!</v>
      </c>
    </row>
    <row r="40" spans="1:2" x14ac:dyDescent="0.25">
      <c r="A40" t="s">
        <v>305</v>
      </c>
      <c r="B40" s="10" t="e">
        <f>JJCPAt3</f>
        <v>#REF!</v>
      </c>
    </row>
    <row r="41" spans="1:2" x14ac:dyDescent="0.25">
      <c r="A41" t="s">
        <v>306</v>
      </c>
      <c r="B41" s="10" t="e">
        <f>Othert3</f>
        <v>#REF!</v>
      </c>
    </row>
    <row r="42" spans="1:2" x14ac:dyDescent="0.25">
      <c r="A42" t="s">
        <v>658</v>
      </c>
      <c r="B42" s="9" t="e">
        <f>t3casecount</f>
        <v>#REF!</v>
      </c>
    </row>
    <row r="43" spans="1:2" x14ac:dyDescent="0.25">
      <c r="A43" t="s">
        <v>659</v>
      </c>
      <c r="B43" s="12" t="e">
        <f>t3yobgpercap</f>
        <v>#REF!</v>
      </c>
    </row>
    <row r="44" spans="1:2" x14ac:dyDescent="0.25">
      <c r="A44" t="s">
        <v>660</v>
      </c>
      <c r="B44" s="12" t="e">
        <f>t3totpercap</f>
        <v>#REF!</v>
      </c>
    </row>
    <row r="45" spans="1:2" x14ac:dyDescent="0.25">
      <c r="A45" t="s">
        <v>662</v>
      </c>
      <c r="B45" t="e">
        <f>t3nar</f>
        <v>#REF!</v>
      </c>
    </row>
    <row r="46" spans="1:2" x14ac:dyDescent="0.25">
      <c r="A46" t="s">
        <v>269</v>
      </c>
      <c r="B46" t="e">
        <f>t3goal</f>
        <v>#REF!</v>
      </c>
    </row>
    <row r="47" spans="1:2" x14ac:dyDescent="0.25">
      <c r="A47" t="s">
        <v>288</v>
      </c>
      <c r="B47" t="e">
        <f>t3barrier</f>
        <v>#REF!</v>
      </c>
    </row>
    <row r="48" spans="1:2" x14ac:dyDescent="0.25">
      <c r="A48" t="s">
        <v>270</v>
      </c>
      <c r="B48" t="e">
        <f>t3funds</f>
        <v>#REF!</v>
      </c>
    </row>
    <row r="49" spans="1:2" x14ac:dyDescent="0.25">
      <c r="A49" t="s">
        <v>165</v>
      </c>
      <c r="B49" t="e">
        <f>t3other1</f>
        <v>#REF!</v>
      </c>
    </row>
    <row r="50" spans="1:2" x14ac:dyDescent="0.25">
      <c r="A50" t="s">
        <v>166</v>
      </c>
      <c r="B50" t="e">
        <f>t3other2</f>
        <v>#REF!</v>
      </c>
    </row>
    <row r="51" spans="1:2" x14ac:dyDescent="0.25">
      <c r="A51" t="s">
        <v>167</v>
      </c>
      <c r="B51" t="e">
        <f>t3other3</f>
        <v>#REF!</v>
      </c>
    </row>
    <row r="52" spans="1:2" x14ac:dyDescent="0.25">
      <c r="A52" t="s">
        <v>667</v>
      </c>
      <c r="B52" s="13" t="e">
        <f>Numecodet4</f>
        <v>#REF!</v>
      </c>
    </row>
    <row r="53" spans="1:2" x14ac:dyDescent="0.25">
      <c r="A53" t="s">
        <v>668</v>
      </c>
      <c r="B53" s="10" t="e">
        <f>Numealtt4</f>
        <v>#REF!</v>
      </c>
    </row>
    <row r="54" spans="1:2" x14ac:dyDescent="0.25">
      <c r="A54" t="s">
        <v>307</v>
      </c>
      <c r="B54" s="10" t="e">
        <f>JJCPAt4</f>
        <v>#REF!</v>
      </c>
    </row>
    <row r="55" spans="1:2" x14ac:dyDescent="0.25">
      <c r="A55" t="s">
        <v>308</v>
      </c>
      <c r="B55" s="10" t="e">
        <f>Othert4</f>
        <v>#REF!</v>
      </c>
    </row>
    <row r="56" spans="1:2" x14ac:dyDescent="0.25">
      <c r="A56" t="s">
        <v>699</v>
      </c>
      <c r="B56" s="9" t="e">
        <f>t4casecount</f>
        <v>#REF!</v>
      </c>
    </row>
    <row r="57" spans="1:2" x14ac:dyDescent="0.25">
      <c r="A57" t="s">
        <v>700</v>
      </c>
      <c r="B57" s="12" t="e">
        <f>t4yobgpercap</f>
        <v>#REF!</v>
      </c>
    </row>
    <row r="58" spans="1:2" x14ac:dyDescent="0.25">
      <c r="A58" t="s">
        <v>701</v>
      </c>
      <c r="B58" s="12" t="e">
        <f>t4totpercap</f>
        <v>#REF!</v>
      </c>
    </row>
    <row r="59" spans="1:2" x14ac:dyDescent="0.25">
      <c r="A59" t="s">
        <v>702</v>
      </c>
      <c r="B59" t="e">
        <f>t4nar</f>
        <v>#REF!</v>
      </c>
    </row>
    <row r="60" spans="1:2" x14ac:dyDescent="0.25">
      <c r="A60" t="s">
        <v>271</v>
      </c>
      <c r="B60" t="e">
        <f>t4goal</f>
        <v>#REF!</v>
      </c>
    </row>
    <row r="61" spans="1:2" x14ac:dyDescent="0.25">
      <c r="A61" t="s">
        <v>289</v>
      </c>
      <c r="B61" t="e">
        <f>t4barrier</f>
        <v>#REF!</v>
      </c>
    </row>
    <row r="62" spans="1:2" x14ac:dyDescent="0.25">
      <c r="A62" t="s">
        <v>272</v>
      </c>
      <c r="B62" t="e">
        <f>t4funds</f>
        <v>#REF!</v>
      </c>
    </row>
    <row r="63" spans="1:2" x14ac:dyDescent="0.25">
      <c r="A63" t="s">
        <v>168</v>
      </c>
      <c r="B63" t="e">
        <f>t4other1</f>
        <v>#REF!</v>
      </c>
    </row>
    <row r="64" spans="1:2" x14ac:dyDescent="0.25">
      <c r="A64" t="s">
        <v>169</v>
      </c>
      <c r="B64" t="e">
        <f>t4other2</f>
        <v>#REF!</v>
      </c>
    </row>
    <row r="65" spans="1:2" x14ac:dyDescent="0.25">
      <c r="A65" t="s">
        <v>170</v>
      </c>
      <c r="B65" t="e">
        <f>t4other3</f>
        <v>#REF!</v>
      </c>
    </row>
    <row r="66" spans="1:2" x14ac:dyDescent="0.25">
      <c r="A66" t="s">
        <v>707</v>
      </c>
      <c r="B66" s="13" t="e">
        <f>Numecodet5</f>
        <v>#REF!</v>
      </c>
    </row>
    <row r="67" spans="1:2" x14ac:dyDescent="0.25">
      <c r="A67" t="s">
        <v>708</v>
      </c>
      <c r="B67" s="10" t="e">
        <f>Numealtt5</f>
        <v>#REF!</v>
      </c>
    </row>
    <row r="68" spans="1:2" x14ac:dyDescent="0.25">
      <c r="A68" t="s">
        <v>309</v>
      </c>
      <c r="B68" s="10" t="e">
        <f>JJCPAt5</f>
        <v>#REF!</v>
      </c>
    </row>
    <row r="69" spans="1:2" x14ac:dyDescent="0.25">
      <c r="A69" t="s">
        <v>310</v>
      </c>
      <c r="B69" s="10" t="e">
        <f>Othert5</f>
        <v>#REF!</v>
      </c>
    </row>
    <row r="70" spans="1:2" x14ac:dyDescent="0.25">
      <c r="A70" t="s">
        <v>739</v>
      </c>
      <c r="B70" s="9" t="e">
        <f>t5casecount</f>
        <v>#REF!</v>
      </c>
    </row>
    <row r="71" spans="1:2" x14ac:dyDescent="0.25">
      <c r="A71" t="s">
        <v>740</v>
      </c>
      <c r="B71" s="12" t="e">
        <f>t5yobgpercap</f>
        <v>#REF!</v>
      </c>
    </row>
    <row r="72" spans="1:2" x14ac:dyDescent="0.25">
      <c r="A72" t="s">
        <v>741</v>
      </c>
      <c r="B72" s="12" t="e">
        <f>t5totpercap</f>
        <v>#REF!</v>
      </c>
    </row>
    <row r="73" spans="1:2" x14ac:dyDescent="0.25">
      <c r="A73" t="s">
        <v>742</v>
      </c>
      <c r="B73" t="e">
        <f>t5nar</f>
        <v>#REF!</v>
      </c>
    </row>
    <row r="74" spans="1:2" x14ac:dyDescent="0.25">
      <c r="A74" t="s">
        <v>273</v>
      </c>
      <c r="B74" t="e">
        <f>t5goal</f>
        <v>#REF!</v>
      </c>
    </row>
    <row r="75" spans="1:2" x14ac:dyDescent="0.25">
      <c r="A75" t="s">
        <v>290</v>
      </c>
      <c r="B75" t="e">
        <f>t5barrier</f>
        <v>#REF!</v>
      </c>
    </row>
    <row r="76" spans="1:2" x14ac:dyDescent="0.25">
      <c r="A76" t="s">
        <v>274</v>
      </c>
      <c r="B76" t="e">
        <f>t5funds</f>
        <v>#REF!</v>
      </c>
    </row>
    <row r="77" spans="1:2" x14ac:dyDescent="0.25">
      <c r="A77" t="s">
        <v>171</v>
      </c>
      <c r="B77" t="e">
        <f>t5other1</f>
        <v>#REF!</v>
      </c>
    </row>
    <row r="78" spans="1:2" x14ac:dyDescent="0.25">
      <c r="A78" t="s">
        <v>172</v>
      </c>
      <c r="B78" t="e">
        <f>t5other2</f>
        <v>#REF!</v>
      </c>
    </row>
    <row r="79" spans="1:2" x14ac:dyDescent="0.25">
      <c r="A79" t="s">
        <v>173</v>
      </c>
      <c r="B79" t="e">
        <f>t5other3</f>
        <v>#REF!</v>
      </c>
    </row>
    <row r="80" spans="1:2" x14ac:dyDescent="0.25">
      <c r="A80" t="s">
        <v>747</v>
      </c>
      <c r="B80" s="13" t="e">
        <f>Numecodet6</f>
        <v>#REF!</v>
      </c>
    </row>
    <row r="81" spans="1:2" x14ac:dyDescent="0.25">
      <c r="A81" t="s">
        <v>748</v>
      </c>
      <c r="B81" s="10" t="e">
        <f>Numealtt6</f>
        <v>#REF!</v>
      </c>
    </row>
    <row r="82" spans="1:2" x14ac:dyDescent="0.25">
      <c r="A82" t="s">
        <v>311</v>
      </c>
      <c r="B82" s="10" t="e">
        <f>JJCPAt6</f>
        <v>#REF!</v>
      </c>
    </row>
    <row r="83" spans="1:2" x14ac:dyDescent="0.25">
      <c r="A83" t="s">
        <v>312</v>
      </c>
      <c r="B83" s="10" t="e">
        <f>Othert6</f>
        <v>#REF!</v>
      </c>
    </row>
    <row r="84" spans="1:2" x14ac:dyDescent="0.25">
      <c r="A84" t="s">
        <v>28</v>
      </c>
      <c r="B84" s="9" t="e">
        <f>t6casecount</f>
        <v>#REF!</v>
      </c>
    </row>
    <row r="85" spans="1:2" x14ac:dyDescent="0.25">
      <c r="A85" t="s">
        <v>29</v>
      </c>
      <c r="B85" s="12" t="e">
        <f>t6yobgpercap</f>
        <v>#REF!</v>
      </c>
    </row>
    <row r="86" spans="1:2" x14ac:dyDescent="0.25">
      <c r="A86" t="s">
        <v>30</v>
      </c>
      <c r="B86" s="12" t="e">
        <f>t6totpercap</f>
        <v>#REF!</v>
      </c>
    </row>
    <row r="87" spans="1:2" x14ac:dyDescent="0.25">
      <c r="A87" t="s">
        <v>31</v>
      </c>
      <c r="B87" t="e">
        <f>t6nar</f>
        <v>#REF!</v>
      </c>
    </row>
    <row r="88" spans="1:2" x14ac:dyDescent="0.25">
      <c r="A88" t="s">
        <v>275</v>
      </c>
      <c r="B88" t="e">
        <f>t6goal</f>
        <v>#REF!</v>
      </c>
    </row>
    <row r="89" spans="1:2" x14ac:dyDescent="0.25">
      <c r="A89" t="s">
        <v>291</v>
      </c>
      <c r="B89" t="e">
        <f>t6barrier</f>
        <v>#REF!</v>
      </c>
    </row>
    <row r="90" spans="1:2" x14ac:dyDescent="0.25">
      <c r="A90" t="s">
        <v>276</v>
      </c>
      <c r="B90" t="e">
        <f>t6funds</f>
        <v>#REF!</v>
      </c>
    </row>
    <row r="91" spans="1:2" x14ac:dyDescent="0.25">
      <c r="A91" t="s">
        <v>174</v>
      </c>
      <c r="B91" t="e">
        <f>t6other1</f>
        <v>#REF!</v>
      </c>
    </row>
    <row r="92" spans="1:2" x14ac:dyDescent="0.25">
      <c r="A92" t="s">
        <v>175</v>
      </c>
      <c r="B92" t="e">
        <f>t6other2</f>
        <v>#REF!</v>
      </c>
    </row>
    <row r="93" spans="1:2" x14ac:dyDescent="0.25">
      <c r="A93" t="s">
        <v>176</v>
      </c>
      <c r="B93" t="e">
        <f>t6other3</f>
        <v>#REF!</v>
      </c>
    </row>
    <row r="94" spans="1:2" x14ac:dyDescent="0.25">
      <c r="A94" t="s">
        <v>36</v>
      </c>
      <c r="B94" s="13" t="e">
        <f>Numecodet7</f>
        <v>#REF!</v>
      </c>
    </row>
    <row r="95" spans="1:2" x14ac:dyDescent="0.25">
      <c r="A95" t="s">
        <v>37</v>
      </c>
      <c r="B95" s="10" t="e">
        <f>Numealtt7</f>
        <v>#REF!</v>
      </c>
    </row>
    <row r="96" spans="1:2" x14ac:dyDescent="0.25">
      <c r="A96" t="s">
        <v>313</v>
      </c>
      <c r="B96" s="10" t="e">
        <f>JJCPAt7</f>
        <v>#REF!</v>
      </c>
    </row>
    <row r="97" spans="1:2" x14ac:dyDescent="0.25">
      <c r="A97" t="s">
        <v>314</v>
      </c>
      <c r="B97" s="10" t="e">
        <f>Othert7</f>
        <v>#REF!</v>
      </c>
    </row>
    <row r="98" spans="1:2" x14ac:dyDescent="0.25">
      <c r="A98" t="s">
        <v>68</v>
      </c>
      <c r="B98" s="9" t="e">
        <f>t7casecount</f>
        <v>#REF!</v>
      </c>
    </row>
    <row r="99" spans="1:2" x14ac:dyDescent="0.25">
      <c r="A99" t="s">
        <v>69</v>
      </c>
      <c r="B99" s="12" t="e">
        <f>t7yobgpercap</f>
        <v>#REF!</v>
      </c>
    </row>
    <row r="100" spans="1:2" x14ac:dyDescent="0.25">
      <c r="A100" t="s">
        <v>70</v>
      </c>
      <c r="B100" s="12" t="e">
        <f>t7totpercap</f>
        <v>#REF!</v>
      </c>
    </row>
    <row r="101" spans="1:2" x14ac:dyDescent="0.25">
      <c r="A101" t="s">
        <v>71</v>
      </c>
      <c r="B101" t="e">
        <f>t7nar</f>
        <v>#REF!</v>
      </c>
    </row>
    <row r="102" spans="1:2" x14ac:dyDescent="0.25">
      <c r="A102" t="s">
        <v>277</v>
      </c>
      <c r="B102" t="e">
        <f>t7goal</f>
        <v>#REF!</v>
      </c>
    </row>
    <row r="103" spans="1:2" x14ac:dyDescent="0.25">
      <c r="A103" t="s">
        <v>292</v>
      </c>
      <c r="B103" t="e">
        <f>t7barrier</f>
        <v>#REF!</v>
      </c>
    </row>
    <row r="104" spans="1:2" x14ac:dyDescent="0.25">
      <c r="A104" t="s">
        <v>278</v>
      </c>
      <c r="B104" t="e">
        <f>t7funds</f>
        <v>#REF!</v>
      </c>
    </row>
    <row r="105" spans="1:2" x14ac:dyDescent="0.25">
      <c r="A105" t="s">
        <v>177</v>
      </c>
      <c r="B105" t="e">
        <f>t7other1</f>
        <v>#REF!</v>
      </c>
    </row>
    <row r="106" spans="1:2" x14ac:dyDescent="0.25">
      <c r="A106" t="s">
        <v>178</v>
      </c>
      <c r="B106" t="e">
        <f>t7other2</f>
        <v>#REF!</v>
      </c>
    </row>
    <row r="107" spans="1:2" x14ac:dyDescent="0.25">
      <c r="A107" t="s">
        <v>179</v>
      </c>
      <c r="B107" t="e">
        <f>t7other3</f>
        <v>#REF!</v>
      </c>
    </row>
    <row r="108" spans="1:2" x14ac:dyDescent="0.25">
      <c r="A108" t="s">
        <v>76</v>
      </c>
      <c r="B108" s="13" t="e">
        <f>Numecodet8</f>
        <v>#REF!</v>
      </c>
    </row>
    <row r="109" spans="1:2" x14ac:dyDescent="0.25">
      <c r="A109" t="s">
        <v>77</v>
      </c>
      <c r="B109" s="10" t="e">
        <f>Numealtt8</f>
        <v>#REF!</v>
      </c>
    </row>
    <row r="110" spans="1:2" x14ac:dyDescent="0.25">
      <c r="A110" t="s">
        <v>315</v>
      </c>
      <c r="B110" s="10" t="e">
        <f>JJCPAt8</f>
        <v>#REF!</v>
      </c>
    </row>
    <row r="111" spans="1:2" x14ac:dyDescent="0.25">
      <c r="A111" t="s">
        <v>316</v>
      </c>
      <c r="B111" s="10" t="e">
        <f>Othert8</f>
        <v>#REF!</v>
      </c>
    </row>
    <row r="112" spans="1:2" x14ac:dyDescent="0.25">
      <c r="A112" t="s">
        <v>108</v>
      </c>
      <c r="B112" s="9" t="e">
        <f>t8casecount</f>
        <v>#REF!</v>
      </c>
    </row>
    <row r="113" spans="1:2" x14ac:dyDescent="0.25">
      <c r="A113" t="s">
        <v>109</v>
      </c>
      <c r="B113" s="12" t="e">
        <f>t8yobgpercap</f>
        <v>#REF!</v>
      </c>
    </row>
    <row r="114" spans="1:2" x14ac:dyDescent="0.25">
      <c r="A114" t="s">
        <v>110</v>
      </c>
      <c r="B114" s="12" t="e">
        <f>t8totpercap</f>
        <v>#REF!</v>
      </c>
    </row>
    <row r="115" spans="1:2" x14ac:dyDescent="0.25">
      <c r="A115" t="s">
        <v>152</v>
      </c>
      <c r="B115" t="e">
        <f>t8nar</f>
        <v>#REF!</v>
      </c>
    </row>
    <row r="116" spans="1:2" x14ac:dyDescent="0.25">
      <c r="A116" t="s">
        <v>279</v>
      </c>
      <c r="B116" t="e">
        <f>t8goal</f>
        <v>#REF!</v>
      </c>
    </row>
    <row r="117" spans="1:2" x14ac:dyDescent="0.25">
      <c r="A117" t="s">
        <v>293</v>
      </c>
      <c r="B117" t="e">
        <f>t8barrier</f>
        <v>#REF!</v>
      </c>
    </row>
    <row r="118" spans="1:2" x14ac:dyDescent="0.25">
      <c r="A118" t="s">
        <v>280</v>
      </c>
      <c r="B118" t="e">
        <f>t8funds</f>
        <v>#REF!</v>
      </c>
    </row>
    <row r="119" spans="1:2" x14ac:dyDescent="0.25">
      <c r="A119" t="s">
        <v>180</v>
      </c>
      <c r="B119" t="e">
        <f>t8other1</f>
        <v>#REF!</v>
      </c>
    </row>
    <row r="120" spans="1:2" x14ac:dyDescent="0.25">
      <c r="A120" t="s">
        <v>181</v>
      </c>
      <c r="B120" t="e">
        <f>t8other2</f>
        <v>#REF!</v>
      </c>
    </row>
    <row r="121" spans="1:2" x14ac:dyDescent="0.25">
      <c r="A121" t="s">
        <v>182</v>
      </c>
      <c r="B121" t="e">
        <f>t8other3</f>
        <v>#REF!</v>
      </c>
    </row>
    <row r="122" spans="1:2" x14ac:dyDescent="0.25">
      <c r="A122" t="s">
        <v>115</v>
      </c>
      <c r="B122" s="13" t="e">
        <f>Numecodet9</f>
        <v>#REF!</v>
      </c>
    </row>
    <row r="123" spans="1:2" x14ac:dyDescent="0.25">
      <c r="A123" t="s">
        <v>117</v>
      </c>
      <c r="B123" s="10" t="e">
        <f>Numealtt9</f>
        <v>#REF!</v>
      </c>
    </row>
    <row r="124" spans="1:2" x14ac:dyDescent="0.25">
      <c r="A124" t="s">
        <v>317</v>
      </c>
      <c r="B124" s="10" t="e">
        <f>JJCPAt9</f>
        <v>#REF!</v>
      </c>
    </row>
    <row r="125" spans="1:2" x14ac:dyDescent="0.25">
      <c r="A125" t="s">
        <v>318</v>
      </c>
      <c r="B125" s="10" t="e">
        <f>Othert9</f>
        <v>#REF!</v>
      </c>
    </row>
    <row r="126" spans="1:2" x14ac:dyDescent="0.25">
      <c r="A126" t="s">
        <v>148</v>
      </c>
      <c r="B126" s="9" t="e">
        <f>t9casecount</f>
        <v>#REF!</v>
      </c>
    </row>
    <row r="127" spans="1:2" x14ac:dyDescent="0.25">
      <c r="A127" t="s">
        <v>149</v>
      </c>
      <c r="B127" s="12" t="e">
        <f>t9yobgpercap</f>
        <v>#REF!</v>
      </c>
    </row>
    <row r="128" spans="1:2" x14ac:dyDescent="0.25">
      <c r="A128" t="s">
        <v>150</v>
      </c>
      <c r="B128" s="12" t="e">
        <f>t9totpercap</f>
        <v>#REF!</v>
      </c>
    </row>
    <row r="129" spans="1:2" x14ac:dyDescent="0.25">
      <c r="A129" t="s">
        <v>151</v>
      </c>
      <c r="B129" t="e">
        <f>t9nar</f>
        <v>#REF!</v>
      </c>
    </row>
    <row r="130" spans="1:2" x14ac:dyDescent="0.25">
      <c r="A130" t="s">
        <v>281</v>
      </c>
      <c r="B130" t="e">
        <f>t9goal</f>
        <v>#REF!</v>
      </c>
    </row>
    <row r="131" spans="1:2" x14ac:dyDescent="0.25">
      <c r="A131" t="s">
        <v>294</v>
      </c>
      <c r="B131" t="e">
        <f>t9barrier</f>
        <v>#REF!</v>
      </c>
    </row>
    <row r="132" spans="1:2" x14ac:dyDescent="0.25">
      <c r="A132" t="s">
        <v>282</v>
      </c>
      <c r="B132" t="e">
        <f>t9funds</f>
        <v>#REF!</v>
      </c>
    </row>
    <row r="133" spans="1:2" x14ac:dyDescent="0.25">
      <c r="A133" t="s">
        <v>183</v>
      </c>
      <c r="B133" t="e">
        <f>t9other1</f>
        <v>#REF!</v>
      </c>
    </row>
    <row r="134" spans="1:2" x14ac:dyDescent="0.25">
      <c r="A134" t="s">
        <v>184</v>
      </c>
      <c r="B134" t="e">
        <f>t9other2</f>
        <v>#REF!</v>
      </c>
    </row>
    <row r="135" spans="1:2" x14ac:dyDescent="0.25">
      <c r="A135" t="s">
        <v>185</v>
      </c>
      <c r="B135" t="e">
        <f>t9other3</f>
        <v>#REF!</v>
      </c>
    </row>
    <row r="136" spans="1:2" x14ac:dyDescent="0.25">
      <c r="A136" t="s">
        <v>158</v>
      </c>
      <c r="B136" s="13" t="e">
        <f>Numecodet10</f>
        <v>#REF!</v>
      </c>
    </row>
    <row r="137" spans="1:2" x14ac:dyDescent="0.25">
      <c r="A137" t="s">
        <v>189</v>
      </c>
      <c r="B137" s="10" t="e">
        <f>Numealtt10</f>
        <v>#REF!</v>
      </c>
    </row>
    <row r="138" spans="1:2" x14ac:dyDescent="0.25">
      <c r="A138" t="s">
        <v>319</v>
      </c>
      <c r="B138" s="10" t="e">
        <f>JJCPAt10</f>
        <v>#REF!</v>
      </c>
    </row>
    <row r="139" spans="1:2" x14ac:dyDescent="0.25">
      <c r="A139" t="s">
        <v>320</v>
      </c>
      <c r="B139" s="10" t="e">
        <f>Othert10</f>
        <v>#REF!</v>
      </c>
    </row>
    <row r="140" spans="1:2" x14ac:dyDescent="0.25">
      <c r="A140" t="s">
        <v>358</v>
      </c>
      <c r="B140" s="9" t="e">
        <f>t10casecount</f>
        <v>#REF!</v>
      </c>
    </row>
    <row r="141" spans="1:2" x14ac:dyDescent="0.25">
      <c r="A141" t="s">
        <v>157</v>
      </c>
      <c r="B141" s="12" t="e">
        <f>t10yobgpercap</f>
        <v>#REF!</v>
      </c>
    </row>
    <row r="142" spans="1:2" x14ac:dyDescent="0.25">
      <c r="A142" t="s">
        <v>359</v>
      </c>
      <c r="B142" s="12" t="e">
        <f>t10totpercap</f>
        <v>#REF!</v>
      </c>
    </row>
    <row r="143" spans="1:2" x14ac:dyDescent="0.25">
      <c r="A143" t="s">
        <v>360</v>
      </c>
      <c r="B143" t="e">
        <f>t10nar</f>
        <v>#REF!</v>
      </c>
    </row>
    <row r="144" spans="1:2" x14ac:dyDescent="0.25">
      <c r="A144" t="s">
        <v>283</v>
      </c>
      <c r="B144" t="e">
        <f>t10goal</f>
        <v>#REF!</v>
      </c>
    </row>
    <row r="145" spans="1:2" x14ac:dyDescent="0.25">
      <c r="A145" t="s">
        <v>295</v>
      </c>
      <c r="B145" t="e">
        <f>t10barrier</f>
        <v>#REF!</v>
      </c>
    </row>
    <row r="146" spans="1:2" x14ac:dyDescent="0.25">
      <c r="A146" t="s">
        <v>284</v>
      </c>
      <c r="B146" t="e">
        <f>t10funds</f>
        <v>#REF!</v>
      </c>
    </row>
    <row r="147" spans="1:2" x14ac:dyDescent="0.25">
      <c r="A147" t="s">
        <v>186</v>
      </c>
      <c r="B147" t="e">
        <f>t10other1</f>
        <v>#REF!</v>
      </c>
    </row>
    <row r="148" spans="1:2" x14ac:dyDescent="0.25">
      <c r="A148" t="s">
        <v>187</v>
      </c>
      <c r="B148" t="e">
        <f>t10other2</f>
        <v>#REF!</v>
      </c>
    </row>
    <row r="149" spans="1:2" x14ac:dyDescent="0.25">
      <c r="A149" t="s">
        <v>188</v>
      </c>
      <c r="B149" t="e">
        <f>t10other3</f>
        <v>#REF!</v>
      </c>
    </row>
    <row r="150" spans="1:2" x14ac:dyDescent="0.25">
      <c r="A150" s="41" t="s">
        <v>802</v>
      </c>
      <c r="B150" s="40" t="e">
        <f>totyobgexp</f>
        <v>#REF!</v>
      </c>
    </row>
    <row r="151" spans="1:2" x14ac:dyDescent="0.25">
      <c r="A151" s="41" t="s">
        <v>806</v>
      </c>
      <c r="B151" s="40" t="e">
        <f>fy1314all</f>
        <v>#REF!</v>
      </c>
    </row>
    <row r="152" spans="1:2" x14ac:dyDescent="0.25">
      <c r="A152" s="41" t="s">
        <v>803</v>
      </c>
      <c r="B152" s="40" t="e">
        <f>fy1213all</f>
        <v>#REF!</v>
      </c>
    </row>
    <row r="153" spans="1:2" x14ac:dyDescent="0.25">
      <c r="A153" t="s">
        <v>751</v>
      </c>
      <c r="B153" s="40" t="e">
        <f>fy1112all</f>
        <v>#REF!</v>
      </c>
    </row>
    <row r="154" spans="1:2" x14ac:dyDescent="0.25">
      <c r="A154" t="s">
        <v>300</v>
      </c>
      <c r="B154" s="40" t="e">
        <f>fy1011all</f>
        <v>#REF!</v>
      </c>
    </row>
    <row r="155" spans="1:2" x14ac:dyDescent="0.25">
      <c r="A155" t="s">
        <v>298</v>
      </c>
      <c r="B155" s="40" t="e">
        <f>fy0910all</f>
        <v>#REF!</v>
      </c>
    </row>
    <row r="156" spans="1:2" x14ac:dyDescent="0.25">
      <c r="A156" t="s">
        <v>297</v>
      </c>
      <c r="B156" s="40" t="e">
        <f>fy0809all</f>
        <v>#REF!</v>
      </c>
    </row>
    <row r="157" spans="1:2" x14ac:dyDescent="0.25">
      <c r="A157" t="s">
        <v>296</v>
      </c>
      <c r="B157" s="40" t="e">
        <f>fy0708all</f>
        <v>#REF!</v>
      </c>
    </row>
    <row r="158" spans="1:2" x14ac:dyDescent="0.25">
      <c r="A158" s="41" t="s">
        <v>804</v>
      </c>
      <c r="B158" s="40" t="e">
        <f>totforall</f>
        <v>#REF!</v>
      </c>
    </row>
    <row r="159" spans="1:2" x14ac:dyDescent="0.25">
      <c r="A159" t="s">
        <v>299</v>
      </c>
      <c r="B159" s="40" t="e">
        <f>discrep</f>
        <v>#REF!</v>
      </c>
    </row>
    <row r="160" spans="1:2" x14ac:dyDescent="0.25">
      <c r="A160" t="s">
        <v>250</v>
      </c>
      <c r="B160" t="e">
        <f>discexpl</f>
        <v>#REF!</v>
      </c>
    </row>
    <row r="161" spans="1:2" x14ac:dyDescent="0.25">
      <c r="A161" t="s">
        <v>792</v>
      </c>
      <c r="B161" t="e">
        <f>Numecodet1</f>
        <v>#REF!</v>
      </c>
    </row>
    <row r="162" spans="1:2" x14ac:dyDescent="0.25">
      <c r="A162" t="s">
        <v>752</v>
      </c>
      <c r="B162" t="e">
        <f>JJCPAt1</f>
        <v>#REF!</v>
      </c>
    </row>
    <row r="163" spans="1:2" x14ac:dyDescent="0.25">
      <c r="A163" t="s">
        <v>753</v>
      </c>
      <c r="B163" s="11">
        <f>t1jjcpatot</f>
        <v>4898008</v>
      </c>
    </row>
    <row r="164" spans="1:2" x14ac:dyDescent="0.25">
      <c r="A164" t="s">
        <v>760</v>
      </c>
      <c r="B164" t="e">
        <f>Othert1</f>
        <v>#REF!</v>
      </c>
    </row>
    <row r="165" spans="1:2" x14ac:dyDescent="0.25">
      <c r="A165" t="s">
        <v>761</v>
      </c>
      <c r="B165" s="11">
        <f>t1othertot</f>
        <v>0</v>
      </c>
    </row>
    <row r="166" spans="1:2" x14ac:dyDescent="0.25">
      <c r="A166" t="s">
        <v>793</v>
      </c>
      <c r="B166" t="e">
        <f>Numecodet2</f>
        <v>#REF!</v>
      </c>
    </row>
    <row r="167" spans="1:2" x14ac:dyDescent="0.25">
      <c r="A167" t="s">
        <v>754</v>
      </c>
      <c r="B167" t="e">
        <f>JJCPAt2</f>
        <v>#REF!</v>
      </c>
    </row>
    <row r="168" spans="1:2" x14ac:dyDescent="0.25">
      <c r="A168" t="s">
        <v>755</v>
      </c>
      <c r="B168" s="11" t="e">
        <f>t2jjcpatot</f>
        <v>#REF!</v>
      </c>
    </row>
    <row r="169" spans="1:2" x14ac:dyDescent="0.25">
      <c r="A169" t="s">
        <v>762</v>
      </c>
      <c r="B169" t="e">
        <f>Othert2</f>
        <v>#REF!</v>
      </c>
    </row>
    <row r="170" spans="1:2" x14ac:dyDescent="0.25">
      <c r="A170" t="s">
        <v>763</v>
      </c>
      <c r="B170" s="11" t="e">
        <f>t2othertot</f>
        <v>#REF!</v>
      </c>
    </row>
    <row r="171" spans="1:2" x14ac:dyDescent="0.25">
      <c r="A171" t="s">
        <v>794</v>
      </c>
      <c r="B171" t="e">
        <f>Numecodet3</f>
        <v>#REF!</v>
      </c>
    </row>
    <row r="172" spans="1:2" x14ac:dyDescent="0.25">
      <c r="A172" t="s">
        <v>756</v>
      </c>
      <c r="B172" t="e">
        <f>JJCPAt3</f>
        <v>#REF!</v>
      </c>
    </row>
    <row r="173" spans="1:2" x14ac:dyDescent="0.25">
      <c r="A173" t="s">
        <v>757</v>
      </c>
      <c r="B173" s="11" t="e">
        <f>t3jjcpatot</f>
        <v>#REF!</v>
      </c>
    </row>
    <row r="174" spans="1:2" x14ac:dyDescent="0.25">
      <c r="A174" t="s">
        <v>764</v>
      </c>
      <c r="B174" t="e">
        <f>Othert3</f>
        <v>#REF!</v>
      </c>
    </row>
    <row r="175" spans="1:2" x14ac:dyDescent="0.25">
      <c r="A175" t="s">
        <v>765</v>
      </c>
      <c r="B175" s="11" t="e">
        <f>t3othertot</f>
        <v>#REF!</v>
      </c>
    </row>
    <row r="176" spans="1:2" x14ac:dyDescent="0.25">
      <c r="A176" t="s">
        <v>795</v>
      </c>
      <c r="B176" t="e">
        <f>Numecodet4</f>
        <v>#REF!</v>
      </c>
    </row>
    <row r="177" spans="1:2" x14ac:dyDescent="0.25">
      <c r="A177" t="s">
        <v>758</v>
      </c>
      <c r="B177" t="e">
        <f>JJCPAt4</f>
        <v>#REF!</v>
      </c>
    </row>
    <row r="178" spans="1:2" x14ac:dyDescent="0.25">
      <c r="A178" t="s">
        <v>759</v>
      </c>
      <c r="B178" s="11" t="e">
        <f>t4jjcpatot</f>
        <v>#REF!</v>
      </c>
    </row>
    <row r="179" spans="1:2" x14ac:dyDescent="0.25">
      <c r="A179" t="s">
        <v>766</v>
      </c>
      <c r="B179" t="e">
        <f>Othert4</f>
        <v>#REF!</v>
      </c>
    </row>
    <row r="180" spans="1:2" x14ac:dyDescent="0.25">
      <c r="A180" t="s">
        <v>767</v>
      </c>
      <c r="B180" s="11" t="e">
        <f>t4othertot</f>
        <v>#REF!</v>
      </c>
    </row>
    <row r="181" spans="1:2" x14ac:dyDescent="0.25">
      <c r="A181" t="s">
        <v>796</v>
      </c>
      <c r="B181" t="e">
        <f>Numecodet5</f>
        <v>#REF!</v>
      </c>
    </row>
    <row r="182" spans="1:2" x14ac:dyDescent="0.25">
      <c r="A182" t="s">
        <v>768</v>
      </c>
      <c r="B182" t="e">
        <f>JJCPAt5</f>
        <v>#REF!</v>
      </c>
    </row>
    <row r="183" spans="1:2" x14ac:dyDescent="0.25">
      <c r="A183" t="s">
        <v>769</v>
      </c>
      <c r="B183" s="11" t="e">
        <f>t5jjcpatot</f>
        <v>#REF!</v>
      </c>
    </row>
    <row r="184" spans="1:2" x14ac:dyDescent="0.25">
      <c r="A184" t="s">
        <v>770</v>
      </c>
      <c r="B184" t="e">
        <f>Othert5</f>
        <v>#REF!</v>
      </c>
    </row>
    <row r="185" spans="1:2" x14ac:dyDescent="0.25">
      <c r="A185" t="s">
        <v>771</v>
      </c>
      <c r="B185" s="11" t="e">
        <f>t5othertot</f>
        <v>#REF!</v>
      </c>
    </row>
    <row r="186" spans="1:2" x14ac:dyDescent="0.25">
      <c r="A186" t="s">
        <v>797</v>
      </c>
      <c r="B186" t="e">
        <f>Numecodet6</f>
        <v>#REF!</v>
      </c>
    </row>
    <row r="187" spans="1:2" x14ac:dyDescent="0.25">
      <c r="A187" t="s">
        <v>772</v>
      </c>
      <c r="B187" t="e">
        <f>JJCPAt6</f>
        <v>#REF!</v>
      </c>
    </row>
    <row r="188" spans="1:2" x14ac:dyDescent="0.25">
      <c r="A188" t="s">
        <v>773</v>
      </c>
      <c r="B188" s="11" t="e">
        <f>t6jjcpatot</f>
        <v>#REF!</v>
      </c>
    </row>
    <row r="189" spans="1:2" x14ac:dyDescent="0.25">
      <c r="A189" t="s">
        <v>774</v>
      </c>
      <c r="B189" t="e">
        <f>Othert6</f>
        <v>#REF!</v>
      </c>
    </row>
    <row r="190" spans="1:2" x14ac:dyDescent="0.25">
      <c r="A190" t="s">
        <v>775</v>
      </c>
      <c r="B190" s="11" t="e">
        <f>t6othertot</f>
        <v>#REF!</v>
      </c>
    </row>
    <row r="191" spans="1:2" x14ac:dyDescent="0.25">
      <c r="A191" t="s">
        <v>798</v>
      </c>
      <c r="B191" t="e">
        <f>Numecodet7</f>
        <v>#REF!</v>
      </c>
    </row>
    <row r="192" spans="1:2" x14ac:dyDescent="0.25">
      <c r="A192" t="s">
        <v>776</v>
      </c>
      <c r="B192" t="e">
        <f>JJCPAt7</f>
        <v>#REF!</v>
      </c>
    </row>
    <row r="193" spans="1:2" x14ac:dyDescent="0.25">
      <c r="A193" t="s">
        <v>777</v>
      </c>
      <c r="B193" s="11" t="e">
        <f>t7jjcpatot</f>
        <v>#REF!</v>
      </c>
    </row>
    <row r="194" spans="1:2" x14ac:dyDescent="0.25">
      <c r="A194" t="s">
        <v>778</v>
      </c>
      <c r="B194" t="e">
        <f>Othert7</f>
        <v>#REF!</v>
      </c>
    </row>
    <row r="195" spans="1:2" x14ac:dyDescent="0.25">
      <c r="A195" t="s">
        <v>779</v>
      </c>
      <c r="B195" s="11" t="e">
        <f>t7othertot</f>
        <v>#REF!</v>
      </c>
    </row>
    <row r="196" spans="1:2" x14ac:dyDescent="0.25">
      <c r="A196" t="s">
        <v>799</v>
      </c>
      <c r="B196" t="e">
        <f>Numecodet8</f>
        <v>#REF!</v>
      </c>
    </row>
    <row r="197" spans="1:2" x14ac:dyDescent="0.25">
      <c r="A197" t="s">
        <v>780</v>
      </c>
      <c r="B197" t="e">
        <f>JJCPAt8</f>
        <v>#REF!</v>
      </c>
    </row>
    <row r="198" spans="1:2" x14ac:dyDescent="0.25">
      <c r="A198" t="s">
        <v>781</v>
      </c>
      <c r="B198" s="11" t="e">
        <f>t8jjcpatot</f>
        <v>#REF!</v>
      </c>
    </row>
    <row r="199" spans="1:2" x14ac:dyDescent="0.25">
      <c r="A199" t="s">
        <v>782</v>
      </c>
      <c r="B199" t="e">
        <f>Othert8</f>
        <v>#REF!</v>
      </c>
    </row>
    <row r="200" spans="1:2" x14ac:dyDescent="0.25">
      <c r="A200" t="s">
        <v>783</v>
      </c>
      <c r="B200" s="11" t="e">
        <f>t8othertot</f>
        <v>#REF!</v>
      </c>
    </row>
    <row r="201" spans="1:2" x14ac:dyDescent="0.25">
      <c r="A201" t="s">
        <v>800</v>
      </c>
      <c r="B201" t="e">
        <f>Numecodet9</f>
        <v>#REF!</v>
      </c>
    </row>
    <row r="202" spans="1:2" x14ac:dyDescent="0.25">
      <c r="A202" t="s">
        <v>784</v>
      </c>
      <c r="B202" t="e">
        <f>JJCPAt9</f>
        <v>#REF!</v>
      </c>
    </row>
    <row r="203" spans="1:2" x14ac:dyDescent="0.25">
      <c r="A203" t="s">
        <v>785</v>
      </c>
      <c r="B203" s="11" t="e">
        <f>t9jjcpatot</f>
        <v>#REF!</v>
      </c>
    </row>
    <row r="204" spans="1:2" x14ac:dyDescent="0.25">
      <c r="A204" t="s">
        <v>786</v>
      </c>
      <c r="B204" t="e">
        <f>Othert9</f>
        <v>#REF!</v>
      </c>
    </row>
    <row r="205" spans="1:2" x14ac:dyDescent="0.25">
      <c r="A205" t="s">
        <v>787</v>
      </c>
      <c r="B205" s="11" t="e">
        <f>t9othertot</f>
        <v>#REF!</v>
      </c>
    </row>
    <row r="206" spans="1:2" x14ac:dyDescent="0.25">
      <c r="A206" t="s">
        <v>801</v>
      </c>
      <c r="B206" t="e">
        <f>Numcodet10</f>
        <v>#REF!</v>
      </c>
    </row>
    <row r="207" spans="1:2" x14ac:dyDescent="0.25">
      <c r="A207" t="s">
        <v>788</v>
      </c>
      <c r="B207" t="e">
        <f>JJCPAt10</f>
        <v>#REF!</v>
      </c>
    </row>
    <row r="208" spans="1:2" x14ac:dyDescent="0.25">
      <c r="A208" t="s">
        <v>789</v>
      </c>
      <c r="B208" s="11" t="e">
        <f>t10jjcpatot</f>
        <v>#REF!</v>
      </c>
    </row>
    <row r="209" spans="1:2" x14ac:dyDescent="0.25">
      <c r="A209" t="s">
        <v>790</v>
      </c>
      <c r="B209" t="e">
        <f>Othert10</f>
        <v>#REF!</v>
      </c>
    </row>
    <row r="210" spans="1:2" x14ac:dyDescent="0.25">
      <c r="A210" t="s">
        <v>791</v>
      </c>
      <c r="B210" s="11" t="e">
        <f>t10othertot</f>
        <v>#REF!</v>
      </c>
    </row>
  </sheetData>
  <sheetProtection password="CB13" sheet="1"/>
  <phoneticPr fontId="2"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1"/>
  <dimension ref="A1:G58"/>
  <sheetViews>
    <sheetView topLeftCell="A4" workbookViewId="0">
      <selection activeCell="H26" sqref="H26:I26"/>
    </sheetView>
  </sheetViews>
  <sheetFormatPr defaultRowHeight="13.2" x14ac:dyDescent="0.25"/>
  <cols>
    <col min="2" max="2" width="34.5546875" customWidth="1"/>
    <col min="4" max="4" width="12.5546875" customWidth="1"/>
    <col min="7" max="7" width="27.44140625" customWidth="1"/>
  </cols>
  <sheetData>
    <row r="1" spans="1:4" x14ac:dyDescent="0.25">
      <c r="A1">
        <v>1</v>
      </c>
      <c r="B1" s="2" t="s">
        <v>468</v>
      </c>
      <c r="C1">
        <v>1</v>
      </c>
      <c r="D1" t="s">
        <v>407</v>
      </c>
    </row>
    <row r="2" spans="1:4" x14ac:dyDescent="0.25">
      <c r="A2">
        <v>2</v>
      </c>
      <c r="B2" s="2" t="s">
        <v>469</v>
      </c>
      <c r="C2">
        <v>2</v>
      </c>
      <c r="D2" t="s">
        <v>462</v>
      </c>
    </row>
    <row r="3" spans="1:4" x14ac:dyDescent="0.25">
      <c r="A3">
        <v>3</v>
      </c>
      <c r="B3" s="2" t="s">
        <v>470</v>
      </c>
      <c r="D3" t="s">
        <v>408</v>
      </c>
    </row>
    <row r="4" spans="1:4" x14ac:dyDescent="0.25">
      <c r="A4">
        <v>4</v>
      </c>
      <c r="B4" s="2" t="s">
        <v>471</v>
      </c>
      <c r="D4" t="s">
        <v>409</v>
      </c>
    </row>
    <row r="5" spans="1:4" x14ac:dyDescent="0.25">
      <c r="A5">
        <v>5</v>
      </c>
      <c r="B5" s="2" t="s">
        <v>472</v>
      </c>
      <c r="D5" t="s">
        <v>410</v>
      </c>
    </row>
    <row r="6" spans="1:4" x14ac:dyDescent="0.25">
      <c r="A6">
        <v>6</v>
      </c>
      <c r="B6" s="2" t="s">
        <v>473</v>
      </c>
      <c r="D6" t="s">
        <v>411</v>
      </c>
    </row>
    <row r="7" spans="1:4" x14ac:dyDescent="0.25">
      <c r="A7">
        <v>7</v>
      </c>
      <c r="B7" s="2" t="s">
        <v>474</v>
      </c>
      <c r="D7" t="s">
        <v>412</v>
      </c>
    </row>
    <row r="8" spans="1:4" x14ac:dyDescent="0.25">
      <c r="A8">
        <v>8</v>
      </c>
      <c r="B8" s="2" t="s">
        <v>536</v>
      </c>
      <c r="D8" t="s">
        <v>324</v>
      </c>
    </row>
    <row r="9" spans="1:4" x14ac:dyDescent="0.25">
      <c r="A9">
        <v>9</v>
      </c>
      <c r="B9" s="2" t="s">
        <v>475</v>
      </c>
      <c r="D9" t="s">
        <v>413</v>
      </c>
    </row>
    <row r="10" spans="1:4" x14ac:dyDescent="0.25">
      <c r="A10">
        <v>10</v>
      </c>
      <c r="B10" s="2" t="s">
        <v>476</v>
      </c>
      <c r="D10" t="s">
        <v>414</v>
      </c>
    </row>
    <row r="11" spans="1:4" x14ac:dyDescent="0.25">
      <c r="A11">
        <v>11</v>
      </c>
      <c r="B11" s="2" t="s">
        <v>477</v>
      </c>
      <c r="D11" t="s">
        <v>415</v>
      </c>
    </row>
    <row r="12" spans="1:4" x14ac:dyDescent="0.25">
      <c r="A12">
        <v>12</v>
      </c>
      <c r="B12" s="2" t="s">
        <v>478</v>
      </c>
      <c r="D12" t="s">
        <v>416</v>
      </c>
    </row>
    <row r="13" spans="1:4" x14ac:dyDescent="0.25">
      <c r="A13">
        <v>13</v>
      </c>
      <c r="B13" s="2" t="s">
        <v>479</v>
      </c>
      <c r="D13" t="s">
        <v>417</v>
      </c>
    </row>
    <row r="14" spans="1:4" x14ac:dyDescent="0.25">
      <c r="A14">
        <v>14</v>
      </c>
      <c r="B14" s="2" t="s">
        <v>480</v>
      </c>
      <c r="D14" t="s">
        <v>418</v>
      </c>
    </row>
    <row r="15" spans="1:4" x14ac:dyDescent="0.25">
      <c r="A15">
        <v>15</v>
      </c>
      <c r="B15" s="2" t="s">
        <v>481</v>
      </c>
      <c r="D15" t="s">
        <v>419</v>
      </c>
    </row>
    <row r="16" spans="1:4" x14ac:dyDescent="0.25">
      <c r="A16">
        <v>16</v>
      </c>
      <c r="B16" s="2" t="s">
        <v>482</v>
      </c>
      <c r="D16" t="s">
        <v>420</v>
      </c>
    </row>
    <row r="17" spans="1:7" x14ac:dyDescent="0.25">
      <c r="A17">
        <v>17</v>
      </c>
      <c r="B17" s="2" t="s">
        <v>483</v>
      </c>
      <c r="D17" t="s">
        <v>421</v>
      </c>
    </row>
    <row r="18" spans="1:7" x14ac:dyDescent="0.25">
      <c r="A18">
        <v>18</v>
      </c>
      <c r="B18" s="2" t="s">
        <v>484</v>
      </c>
      <c r="D18" t="s">
        <v>422</v>
      </c>
    </row>
    <row r="19" spans="1:7" x14ac:dyDescent="0.25">
      <c r="A19">
        <v>19</v>
      </c>
      <c r="B19" s="2" t="s">
        <v>485</v>
      </c>
      <c r="D19" t="s">
        <v>423</v>
      </c>
    </row>
    <row r="20" spans="1:7" x14ac:dyDescent="0.25">
      <c r="A20">
        <v>20</v>
      </c>
      <c r="B20" s="2" t="s">
        <v>486</v>
      </c>
      <c r="D20" t="s">
        <v>424</v>
      </c>
    </row>
    <row r="21" spans="1:7" x14ac:dyDescent="0.25">
      <c r="A21">
        <v>21</v>
      </c>
      <c r="B21" s="2" t="s">
        <v>487</v>
      </c>
      <c r="D21" t="s">
        <v>425</v>
      </c>
    </row>
    <row r="22" spans="1:7" x14ac:dyDescent="0.25">
      <c r="A22">
        <v>22</v>
      </c>
      <c r="B22" s="2" t="s">
        <v>488</v>
      </c>
      <c r="D22" t="s">
        <v>426</v>
      </c>
    </row>
    <row r="23" spans="1:7" x14ac:dyDescent="0.25">
      <c r="A23">
        <v>23</v>
      </c>
      <c r="B23" s="2" t="s">
        <v>489</v>
      </c>
      <c r="D23" t="s">
        <v>427</v>
      </c>
    </row>
    <row r="24" spans="1:7" x14ac:dyDescent="0.25">
      <c r="A24">
        <v>24</v>
      </c>
      <c r="B24" s="2" t="s">
        <v>490</v>
      </c>
      <c r="D24" t="s">
        <v>428</v>
      </c>
      <c r="F24" s="15" t="s">
        <v>405</v>
      </c>
      <c r="G24" s="2" t="s">
        <v>377</v>
      </c>
    </row>
    <row r="25" spans="1:7" x14ac:dyDescent="0.25">
      <c r="A25">
        <v>25</v>
      </c>
      <c r="B25" s="2" t="s">
        <v>491</v>
      </c>
      <c r="D25" t="s">
        <v>429</v>
      </c>
      <c r="F25" s="15" t="s">
        <v>406</v>
      </c>
      <c r="G25" s="22" t="s">
        <v>372</v>
      </c>
    </row>
    <row r="26" spans="1:7" x14ac:dyDescent="0.25">
      <c r="A26">
        <v>26</v>
      </c>
      <c r="B26" s="2" t="s">
        <v>492</v>
      </c>
      <c r="D26" t="s">
        <v>323</v>
      </c>
      <c r="G26" s="22" t="s">
        <v>373</v>
      </c>
    </row>
    <row r="27" spans="1:7" x14ac:dyDescent="0.25">
      <c r="A27">
        <v>27</v>
      </c>
      <c r="B27" s="2" t="s">
        <v>493</v>
      </c>
      <c r="D27" t="s">
        <v>430</v>
      </c>
      <c r="G27" s="22" t="s">
        <v>376</v>
      </c>
    </row>
    <row r="28" spans="1:7" x14ac:dyDescent="0.25">
      <c r="A28">
        <v>28</v>
      </c>
      <c r="B28" s="2" t="s">
        <v>494</v>
      </c>
      <c r="D28" t="s">
        <v>431</v>
      </c>
      <c r="G28" s="22" t="s">
        <v>374</v>
      </c>
    </row>
    <row r="29" spans="1:7" x14ac:dyDescent="0.25">
      <c r="A29">
        <v>29</v>
      </c>
      <c r="B29" s="2" t="s">
        <v>495</v>
      </c>
      <c r="D29" t="s">
        <v>432</v>
      </c>
      <c r="G29" s="22" t="s">
        <v>375</v>
      </c>
    </row>
    <row r="30" spans="1:7" x14ac:dyDescent="0.25">
      <c r="A30">
        <v>30</v>
      </c>
      <c r="B30" s="2" t="s">
        <v>496</v>
      </c>
      <c r="D30" t="s">
        <v>433</v>
      </c>
      <c r="G30" s="22" t="s">
        <v>378</v>
      </c>
    </row>
    <row r="31" spans="1:7" x14ac:dyDescent="0.25">
      <c r="A31">
        <v>31</v>
      </c>
      <c r="B31" s="2" t="s">
        <v>497</v>
      </c>
      <c r="D31" t="s">
        <v>434</v>
      </c>
      <c r="G31" s="22" t="s">
        <v>379</v>
      </c>
    </row>
    <row r="32" spans="1:7" x14ac:dyDescent="0.25">
      <c r="A32">
        <v>32</v>
      </c>
      <c r="B32" s="2" t="s">
        <v>498</v>
      </c>
      <c r="D32" t="s">
        <v>435</v>
      </c>
      <c r="G32" s="22" t="s">
        <v>380</v>
      </c>
    </row>
    <row r="33" spans="1:7" x14ac:dyDescent="0.25">
      <c r="A33">
        <v>33</v>
      </c>
      <c r="B33" s="2" t="s">
        <v>499</v>
      </c>
      <c r="D33" t="s">
        <v>436</v>
      </c>
      <c r="G33" s="22" t="s">
        <v>381</v>
      </c>
    </row>
    <row r="34" spans="1:7" x14ac:dyDescent="0.25">
      <c r="A34">
        <v>34</v>
      </c>
      <c r="B34" s="2" t="s">
        <v>326</v>
      </c>
      <c r="D34" t="s">
        <v>437</v>
      </c>
      <c r="G34" s="22" t="s">
        <v>382</v>
      </c>
    </row>
    <row r="35" spans="1:7" x14ac:dyDescent="0.25">
      <c r="A35">
        <v>35</v>
      </c>
      <c r="B35" s="2" t="s">
        <v>500</v>
      </c>
      <c r="D35" t="s">
        <v>438</v>
      </c>
      <c r="G35" s="22" t="s">
        <v>383</v>
      </c>
    </row>
    <row r="36" spans="1:7" x14ac:dyDescent="0.25">
      <c r="A36">
        <v>36</v>
      </c>
      <c r="B36" s="2" t="s">
        <v>501</v>
      </c>
      <c r="D36" t="s">
        <v>439</v>
      </c>
      <c r="G36" s="22" t="s">
        <v>384</v>
      </c>
    </row>
    <row r="37" spans="1:7" x14ac:dyDescent="0.25">
      <c r="A37">
        <v>37</v>
      </c>
      <c r="B37" s="2" t="s">
        <v>502</v>
      </c>
      <c r="D37" t="s">
        <v>440</v>
      </c>
      <c r="G37" s="22" t="s">
        <v>385</v>
      </c>
    </row>
    <row r="38" spans="1:7" x14ac:dyDescent="0.25">
      <c r="A38">
        <v>38</v>
      </c>
      <c r="B38" s="2" t="s">
        <v>503</v>
      </c>
      <c r="D38" t="s">
        <v>441</v>
      </c>
      <c r="G38" s="22" t="s">
        <v>386</v>
      </c>
    </row>
    <row r="39" spans="1:7" x14ac:dyDescent="0.25">
      <c r="A39">
        <v>39</v>
      </c>
      <c r="B39" s="2" t="s">
        <v>504</v>
      </c>
      <c r="D39" t="s">
        <v>442</v>
      </c>
      <c r="G39" s="22" t="s">
        <v>387</v>
      </c>
    </row>
    <row r="40" spans="1:7" x14ac:dyDescent="0.25">
      <c r="A40">
        <v>40</v>
      </c>
      <c r="B40" s="2" t="s">
        <v>516</v>
      </c>
      <c r="D40" t="s">
        <v>443</v>
      </c>
      <c r="G40" s="22" t="s">
        <v>388</v>
      </c>
    </row>
    <row r="41" spans="1:7" x14ac:dyDescent="0.25">
      <c r="A41">
        <v>41</v>
      </c>
      <c r="B41" s="2" t="s">
        <v>505</v>
      </c>
      <c r="D41" t="s">
        <v>444</v>
      </c>
      <c r="G41" s="22" t="s">
        <v>389</v>
      </c>
    </row>
    <row r="42" spans="1:7" x14ac:dyDescent="0.25">
      <c r="A42">
        <v>42</v>
      </c>
      <c r="B42" s="2" t="s">
        <v>506</v>
      </c>
      <c r="D42" t="s">
        <v>445</v>
      </c>
      <c r="G42" s="22" t="s">
        <v>512</v>
      </c>
    </row>
    <row r="43" spans="1:7" x14ac:dyDescent="0.25">
      <c r="A43">
        <v>43</v>
      </c>
      <c r="B43" s="2" t="s">
        <v>517</v>
      </c>
      <c r="D43" t="s">
        <v>446</v>
      </c>
    </row>
    <row r="44" spans="1:7" x14ac:dyDescent="0.25">
      <c r="A44">
        <v>44</v>
      </c>
      <c r="B44" s="2" t="s">
        <v>517</v>
      </c>
      <c r="D44" t="s">
        <v>447</v>
      </c>
    </row>
    <row r="45" spans="1:7" x14ac:dyDescent="0.25">
      <c r="A45">
        <v>45</v>
      </c>
      <c r="B45" s="2" t="s">
        <v>507</v>
      </c>
      <c r="D45" t="s">
        <v>448</v>
      </c>
    </row>
    <row r="46" spans="1:7" x14ac:dyDescent="0.25">
      <c r="A46">
        <v>46</v>
      </c>
      <c r="B46" s="2" t="s">
        <v>513</v>
      </c>
      <c r="D46" t="s">
        <v>461</v>
      </c>
    </row>
    <row r="47" spans="1:7" x14ac:dyDescent="0.25">
      <c r="A47">
        <v>47</v>
      </c>
      <c r="B47" s="2" t="s">
        <v>508</v>
      </c>
      <c r="D47" t="s">
        <v>449</v>
      </c>
    </row>
    <row r="48" spans="1:7" x14ac:dyDescent="0.25">
      <c r="A48">
        <v>48</v>
      </c>
      <c r="B48" s="2" t="s">
        <v>509</v>
      </c>
      <c r="D48" t="s">
        <v>450</v>
      </c>
    </row>
    <row r="49" spans="1:4" x14ac:dyDescent="0.25">
      <c r="A49">
        <v>49</v>
      </c>
      <c r="B49" s="2" t="s">
        <v>510</v>
      </c>
      <c r="D49" t="s">
        <v>451</v>
      </c>
    </row>
    <row r="50" spans="1:4" x14ac:dyDescent="0.25">
      <c r="A50">
        <v>50</v>
      </c>
      <c r="B50" s="2" t="s">
        <v>511</v>
      </c>
      <c r="D50" t="s">
        <v>452</v>
      </c>
    </row>
    <row r="51" spans="1:4" x14ac:dyDescent="0.25">
      <c r="A51">
        <v>51</v>
      </c>
      <c r="B51" s="2" t="s">
        <v>512</v>
      </c>
      <c r="D51" t="s">
        <v>453</v>
      </c>
    </row>
    <row r="52" spans="1:4" x14ac:dyDescent="0.25">
      <c r="A52">
        <v>52</v>
      </c>
      <c r="B52" s="2" t="s">
        <v>805</v>
      </c>
      <c r="D52" t="s">
        <v>454</v>
      </c>
    </row>
    <row r="53" spans="1:4" x14ac:dyDescent="0.25">
      <c r="D53" t="s">
        <v>455</v>
      </c>
    </row>
    <row r="54" spans="1:4" x14ac:dyDescent="0.25">
      <c r="D54" t="s">
        <v>456</v>
      </c>
    </row>
    <row r="55" spans="1:4" x14ac:dyDescent="0.25">
      <c r="D55" t="s">
        <v>457</v>
      </c>
    </row>
    <row r="56" spans="1:4" x14ac:dyDescent="0.25">
      <c r="D56" t="s">
        <v>458</v>
      </c>
    </row>
    <row r="57" spans="1:4" x14ac:dyDescent="0.25">
      <c r="D57" t="s">
        <v>459</v>
      </c>
    </row>
    <row r="58" spans="1:4" x14ac:dyDescent="0.25">
      <c r="D58" t="s">
        <v>460</v>
      </c>
    </row>
  </sheetData>
  <sheetProtection password="CB13" sheet="1"/>
  <phoneticPr fontId="2" type="noConversion"/>
  <pageMargins left="0.75" right="0.75" top="1" bottom="1" header="0.5" footer="0.5"/>
  <pageSetup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HQ2"/>
  <sheetViews>
    <sheetView workbookViewId="0">
      <selection activeCell="H26" sqref="H26:I26"/>
    </sheetView>
  </sheetViews>
  <sheetFormatPr defaultRowHeight="13.2" x14ac:dyDescent="0.25"/>
  <sheetData>
    <row r="1" spans="1:225" x14ac:dyDescent="0.25">
      <c r="A1" t="s">
        <v>539</v>
      </c>
      <c r="B1" t="s">
        <v>541</v>
      </c>
      <c r="C1" t="s">
        <v>542</v>
      </c>
      <c r="D1" t="s">
        <v>543</v>
      </c>
      <c r="E1" t="s">
        <v>540</v>
      </c>
      <c r="F1" t="s">
        <v>544</v>
      </c>
      <c r="G1" t="s">
        <v>546</v>
      </c>
      <c r="H1" t="s">
        <v>545</v>
      </c>
      <c r="I1" t="s">
        <v>192</v>
      </c>
      <c r="J1" t="s">
        <v>218</v>
      </c>
      <c r="K1" t="s">
        <v>217</v>
      </c>
      <c r="L1" t="s">
        <v>193</v>
      </c>
      <c r="M1" t="s">
        <v>365</v>
      </c>
      <c r="N1" t="s">
        <v>366</v>
      </c>
      <c r="O1" t="s">
        <v>367</v>
      </c>
      <c r="P1" t="s">
        <v>368</v>
      </c>
      <c r="Q1" t="s">
        <v>264</v>
      </c>
      <c r="R1" t="s">
        <v>265</v>
      </c>
      <c r="S1" t="s">
        <v>266</v>
      </c>
      <c r="T1" t="s">
        <v>116</v>
      </c>
      <c r="U1" t="s">
        <v>585</v>
      </c>
      <c r="V1" t="s">
        <v>586</v>
      </c>
      <c r="W1" t="s">
        <v>547</v>
      </c>
      <c r="X1" t="s">
        <v>548</v>
      </c>
      <c r="Y1" t="s">
        <v>549</v>
      </c>
      <c r="Z1" t="s">
        <v>550</v>
      </c>
      <c r="AA1" t="s">
        <v>551</v>
      </c>
      <c r="AB1" t="s">
        <v>552</v>
      </c>
      <c r="AC1" t="s">
        <v>553</v>
      </c>
      <c r="AD1" t="s">
        <v>554</v>
      </c>
      <c r="AE1" t="s">
        <v>582</v>
      </c>
      <c r="AF1" t="s">
        <v>555</v>
      </c>
      <c r="AG1" t="s">
        <v>556</v>
      </c>
      <c r="AH1" t="s">
        <v>557</v>
      </c>
      <c r="AI1" t="s">
        <v>558</v>
      </c>
      <c r="AJ1" t="s">
        <v>559</v>
      </c>
      <c r="AK1" t="s">
        <v>560</v>
      </c>
      <c r="AL1" t="s">
        <v>561</v>
      </c>
      <c r="AM1" t="s">
        <v>562</v>
      </c>
      <c r="AN1" t="s">
        <v>563</v>
      </c>
      <c r="AO1" t="s">
        <v>583</v>
      </c>
      <c r="AP1" t="s">
        <v>564</v>
      </c>
      <c r="AQ1" t="s">
        <v>565</v>
      </c>
      <c r="AR1" t="s">
        <v>566</v>
      </c>
      <c r="AS1" t="s">
        <v>567</v>
      </c>
      <c r="AT1" t="s">
        <v>568</v>
      </c>
      <c r="AU1" t="s">
        <v>569</v>
      </c>
      <c r="AV1" t="s">
        <v>570</v>
      </c>
      <c r="AW1" t="s">
        <v>571</v>
      </c>
      <c r="AX1" t="s">
        <v>572</v>
      </c>
      <c r="AY1" t="s">
        <v>584</v>
      </c>
      <c r="AZ1" t="s">
        <v>573</v>
      </c>
      <c r="BA1" t="s">
        <v>574</v>
      </c>
      <c r="BB1" t="s">
        <v>575</v>
      </c>
      <c r="BC1" t="s">
        <v>576</v>
      </c>
      <c r="BD1" t="s">
        <v>578</v>
      </c>
      <c r="BE1" t="s">
        <v>579</v>
      </c>
      <c r="BF1" t="s">
        <v>580</v>
      </c>
      <c r="BG1" t="s">
        <v>581</v>
      </c>
      <c r="BH1" t="s">
        <v>219</v>
      </c>
      <c r="BI1" t="s">
        <v>220</v>
      </c>
      <c r="BJ1" t="s">
        <v>587</v>
      </c>
      <c r="BK1" t="s">
        <v>588</v>
      </c>
      <c r="BL1" t="s">
        <v>589</v>
      </c>
      <c r="BM1" t="s">
        <v>590</v>
      </c>
      <c r="BN1" t="s">
        <v>591</v>
      </c>
      <c r="BO1" t="s">
        <v>592</v>
      </c>
      <c r="BP1" t="s">
        <v>593</v>
      </c>
      <c r="BQ1" t="s">
        <v>594</v>
      </c>
      <c r="BR1" t="s">
        <v>595</v>
      </c>
      <c r="BS1" t="s">
        <v>596</v>
      </c>
      <c r="BT1" t="s">
        <v>597</v>
      </c>
      <c r="BU1" t="s">
        <v>598</v>
      </c>
      <c r="BV1" t="s">
        <v>599</v>
      </c>
      <c r="BW1" t="s">
        <v>600</v>
      </c>
      <c r="BX1" t="s">
        <v>601</v>
      </c>
      <c r="BY1" t="s">
        <v>602</v>
      </c>
      <c r="BZ1" t="s">
        <v>603</v>
      </c>
      <c r="CA1" t="s">
        <v>604</v>
      </c>
      <c r="CB1" t="s">
        <v>605</v>
      </c>
      <c r="CC1" t="s">
        <v>606</v>
      </c>
      <c r="CD1" t="s">
        <v>607</v>
      </c>
      <c r="CE1" t="s">
        <v>608</v>
      </c>
      <c r="CF1" t="s">
        <v>609</v>
      </c>
      <c r="CG1" t="s">
        <v>610</v>
      </c>
      <c r="CH1" t="s">
        <v>611</v>
      </c>
      <c r="CI1" t="s">
        <v>612</v>
      </c>
      <c r="CJ1" t="s">
        <v>613</v>
      </c>
      <c r="CK1" t="s">
        <v>614</v>
      </c>
      <c r="CL1" t="s">
        <v>615</v>
      </c>
      <c r="CM1" t="s">
        <v>616</v>
      </c>
      <c r="CN1" t="s">
        <v>617</v>
      </c>
      <c r="CO1" t="s">
        <v>618</v>
      </c>
      <c r="CP1" t="s">
        <v>619</v>
      </c>
      <c r="CQ1" t="s">
        <v>620</v>
      </c>
      <c r="CR1" t="s">
        <v>621</v>
      </c>
      <c r="CS1" t="s">
        <v>622</v>
      </c>
      <c r="CT1" t="s">
        <v>623</v>
      </c>
      <c r="CU1" t="s">
        <v>624</v>
      </c>
      <c r="CV1" t="s">
        <v>625</v>
      </c>
      <c r="CW1" t="s">
        <v>221</v>
      </c>
      <c r="CX1" t="s">
        <v>222</v>
      </c>
      <c r="CY1" t="s">
        <v>626</v>
      </c>
      <c r="CZ1" t="s">
        <v>627</v>
      </c>
      <c r="DA1" t="s">
        <v>628</v>
      </c>
      <c r="DB1" t="s">
        <v>629</v>
      </c>
      <c r="DC1" t="s">
        <v>630</v>
      </c>
      <c r="DD1" t="s">
        <v>631</v>
      </c>
      <c r="DE1" t="s">
        <v>632</v>
      </c>
      <c r="DF1" t="s">
        <v>633</v>
      </c>
      <c r="DG1" t="s">
        <v>634</v>
      </c>
      <c r="DH1" t="s">
        <v>635</v>
      </c>
      <c r="DI1" t="s">
        <v>636</v>
      </c>
      <c r="DJ1" t="s">
        <v>637</v>
      </c>
      <c r="DK1" t="s">
        <v>638</v>
      </c>
      <c r="DL1" t="s">
        <v>639</v>
      </c>
      <c r="DM1" t="s">
        <v>640</v>
      </c>
      <c r="DN1" t="s">
        <v>641</v>
      </c>
      <c r="DO1" t="s">
        <v>642</v>
      </c>
      <c r="DP1" t="s">
        <v>643</v>
      </c>
      <c r="DQ1" t="s">
        <v>644</v>
      </c>
      <c r="DR1" t="s">
        <v>645</v>
      </c>
      <c r="DS1" t="s">
        <v>646</v>
      </c>
      <c r="DT1" t="s">
        <v>647</v>
      </c>
      <c r="DU1" t="s">
        <v>648</v>
      </c>
      <c r="DV1" t="s">
        <v>649</v>
      </c>
      <c r="DW1" t="s">
        <v>650</v>
      </c>
      <c r="DX1" t="s">
        <v>651</v>
      </c>
      <c r="DY1" t="s">
        <v>652</v>
      </c>
      <c r="DZ1" t="s">
        <v>653</v>
      </c>
      <c r="EA1" t="s">
        <v>654</v>
      </c>
      <c r="EB1" t="s">
        <v>655</v>
      </c>
      <c r="EC1" t="s">
        <v>656</v>
      </c>
      <c r="ED1" t="s">
        <v>657</v>
      </c>
      <c r="EE1" t="s">
        <v>658</v>
      </c>
      <c r="EF1" t="s">
        <v>659</v>
      </c>
      <c r="EG1" t="s">
        <v>660</v>
      </c>
      <c r="EH1" t="s">
        <v>663</v>
      </c>
      <c r="EI1" t="s">
        <v>664</v>
      </c>
      <c r="EJ1" t="s">
        <v>665</v>
      </c>
      <c r="EK1" t="s">
        <v>666</v>
      </c>
      <c r="EL1" t="s">
        <v>223</v>
      </c>
      <c r="EM1" t="s">
        <v>224</v>
      </c>
      <c r="EN1" t="s">
        <v>667</v>
      </c>
      <c r="EO1" t="s">
        <v>668</v>
      </c>
      <c r="EP1" t="s">
        <v>669</v>
      </c>
      <c r="EQ1" t="s">
        <v>670</v>
      </c>
      <c r="ER1" t="s">
        <v>671</v>
      </c>
      <c r="ES1" t="s">
        <v>672</v>
      </c>
      <c r="ET1" t="s">
        <v>673</v>
      </c>
      <c r="EU1" t="s">
        <v>674</v>
      </c>
      <c r="EV1" t="s">
        <v>675</v>
      </c>
      <c r="EW1" t="s">
        <v>676</v>
      </c>
      <c r="EX1" t="s">
        <v>677</v>
      </c>
      <c r="EY1" t="s">
        <v>678</v>
      </c>
      <c r="EZ1" t="s">
        <v>679</v>
      </c>
      <c r="FA1" t="s">
        <v>680</v>
      </c>
      <c r="FB1" t="s">
        <v>681</v>
      </c>
      <c r="FC1" t="s">
        <v>682</v>
      </c>
      <c r="FD1" t="s">
        <v>683</v>
      </c>
      <c r="FE1" t="s">
        <v>684</v>
      </c>
      <c r="FF1" t="s">
        <v>685</v>
      </c>
      <c r="FG1" t="s">
        <v>686</v>
      </c>
      <c r="FH1" t="s">
        <v>687</v>
      </c>
      <c r="FI1" t="s">
        <v>688</v>
      </c>
      <c r="FJ1" t="s">
        <v>689</v>
      </c>
      <c r="FK1" t="s">
        <v>690</v>
      </c>
      <c r="FL1" t="s">
        <v>691</v>
      </c>
      <c r="FM1" t="s">
        <v>692</v>
      </c>
      <c r="FN1" t="s">
        <v>693</v>
      </c>
      <c r="FO1" t="s">
        <v>694</v>
      </c>
      <c r="FP1" t="s">
        <v>695</v>
      </c>
      <c r="FQ1" t="s">
        <v>696</v>
      </c>
      <c r="FR1" t="s">
        <v>697</v>
      </c>
      <c r="FS1" t="s">
        <v>698</v>
      </c>
      <c r="FT1" t="s">
        <v>699</v>
      </c>
      <c r="FU1" t="s">
        <v>700</v>
      </c>
      <c r="FV1" t="s">
        <v>701</v>
      </c>
      <c r="FW1" t="s">
        <v>703</v>
      </c>
      <c r="FX1" t="s">
        <v>704</v>
      </c>
      <c r="FY1" t="s">
        <v>705</v>
      </c>
      <c r="FZ1" t="s">
        <v>706</v>
      </c>
      <c r="GA1" t="s">
        <v>225</v>
      </c>
      <c r="GB1" t="s">
        <v>226</v>
      </c>
      <c r="GC1" t="s">
        <v>707</v>
      </c>
      <c r="GD1" t="s">
        <v>708</v>
      </c>
      <c r="GE1" t="s">
        <v>709</v>
      </c>
      <c r="GF1" t="s">
        <v>710</v>
      </c>
      <c r="GG1" t="s">
        <v>711</v>
      </c>
      <c r="GH1" t="s">
        <v>712</v>
      </c>
      <c r="GI1" t="s">
        <v>713</v>
      </c>
      <c r="GJ1" t="s">
        <v>714</v>
      </c>
      <c r="GK1" t="s">
        <v>715</v>
      </c>
      <c r="GL1" t="s">
        <v>716</v>
      </c>
      <c r="GM1" t="s">
        <v>717</v>
      </c>
      <c r="GN1" t="s">
        <v>718</v>
      </c>
      <c r="GO1" t="s">
        <v>719</v>
      </c>
      <c r="GP1" t="s">
        <v>720</v>
      </c>
      <c r="GQ1" t="s">
        <v>721</v>
      </c>
      <c r="GR1" t="s">
        <v>722</v>
      </c>
      <c r="GS1" t="s">
        <v>723</v>
      </c>
      <c r="GT1" t="s">
        <v>724</v>
      </c>
      <c r="GU1" t="s">
        <v>725</v>
      </c>
      <c r="GV1" t="s">
        <v>726</v>
      </c>
      <c r="GW1" t="s">
        <v>727</v>
      </c>
      <c r="GX1" t="s">
        <v>728</v>
      </c>
      <c r="GY1" t="s">
        <v>729</v>
      </c>
      <c r="GZ1" t="s">
        <v>730</v>
      </c>
      <c r="HA1" t="s">
        <v>731</v>
      </c>
      <c r="HB1" t="s">
        <v>732</v>
      </c>
      <c r="HC1" t="s">
        <v>733</v>
      </c>
      <c r="HD1" t="s">
        <v>734</v>
      </c>
      <c r="HE1" t="s">
        <v>735</v>
      </c>
      <c r="HF1" t="s">
        <v>736</v>
      </c>
      <c r="HG1" t="s">
        <v>737</v>
      </c>
      <c r="HH1" t="s">
        <v>738</v>
      </c>
      <c r="HI1" t="s">
        <v>739</v>
      </c>
      <c r="HJ1" t="s">
        <v>740</v>
      </c>
      <c r="HK1" t="s">
        <v>741</v>
      </c>
      <c r="HL1" t="s">
        <v>743</v>
      </c>
      <c r="HM1" t="s">
        <v>744</v>
      </c>
      <c r="HN1" t="s">
        <v>745</v>
      </c>
      <c r="HO1" t="s">
        <v>746</v>
      </c>
      <c r="HP1" t="s">
        <v>227</v>
      </c>
      <c r="HQ1" t="s">
        <v>228</v>
      </c>
    </row>
    <row r="2" spans="1:225" x14ac:dyDescent="0.25">
      <c r="A2" s="23" t="str">
        <f>County</f>
        <v>Fresno</v>
      </c>
      <c r="B2" s="25">
        <f>Reportdate</f>
        <v>44105</v>
      </c>
      <c r="C2" s="24" t="e">
        <f>Chief</f>
        <v>#REF!</v>
      </c>
      <c r="D2" t="e">
        <f>Chiefphone2</f>
        <v>#REF!</v>
      </c>
      <c r="E2" s="10" t="e">
        <f>Address</f>
        <v>#REF!</v>
      </c>
      <c r="F2" s="10" t="e">
        <f>City</f>
        <v>#REF!</v>
      </c>
      <c r="G2" s="9" t="e">
        <f>ZIP</f>
        <v>#REF!</v>
      </c>
      <c r="H2" s="10" t="e">
        <f>Chiefemail2</f>
        <v>#REF!</v>
      </c>
      <c r="I2" t="str">
        <f>primcontact</f>
        <v>Greg Reinke</v>
      </c>
      <c r="J2" t="str">
        <f>primarytitle</f>
        <v>Administration Division Director</v>
      </c>
      <c r="K2" t="str">
        <f>primphone</f>
        <v>559-600-1247</v>
      </c>
      <c r="L2" s="10" t="str">
        <f>preemail</f>
        <v>greinke@fresnocountyca.gov</v>
      </c>
      <c r="M2" t="str">
        <f>seccontact</f>
        <v>Vicki Passmore</v>
      </c>
      <c r="N2" t="str">
        <f>seccontitle</f>
        <v>Probation Division Director</v>
      </c>
      <c r="O2" t="str">
        <f>secphone</f>
        <v>559-600-4760</v>
      </c>
      <c r="P2" t="str">
        <f>secemail</f>
        <v>vpassmore@fresnocountyca.gov</v>
      </c>
      <c r="Q2" t="e">
        <f>t1yobgtot+t2yobgtot+t3yobgtot+t4yobgtot+t5yobgtot+t6yobgtot+t7yobgtot+t8yobgtot+t9yobgtot+t10yobgtot</f>
        <v>#REF!</v>
      </c>
      <c r="R2" t="e">
        <f>t1jjcpatot+t2jjcpatot+t3jjcpatot+t4jjcpatot+t5jjcpatot+t6jjcpatot+t7jjcpatot+t8jjcpatot+t9jjcpatot+t10jjcpatot</f>
        <v>#REF!</v>
      </c>
      <c r="S2" t="e">
        <f>t1othertot+t2othertot+t3othertot+t4othertot+t5othertot+t6othertot+t7othertot+t8othertot+t9othertot+t10othertot</f>
        <v>#REF!</v>
      </c>
      <c r="T2" t="e">
        <f>t1casecount+t2casecount+t3casecount+t4casecount+t5casecount+t6casecount+t7casecount+t8casecount+t9casecount+t10casecount</f>
        <v>#REF!</v>
      </c>
      <c r="U2" s="10" t="e">
        <f>Numecodet1</f>
        <v>#REF!</v>
      </c>
      <c r="V2" s="10" t="e">
        <f>Numealtt1</f>
        <v>#REF!</v>
      </c>
      <c r="W2" s="11">
        <f>t1yobgsal</f>
        <v>0</v>
      </c>
      <c r="X2" s="11">
        <f>t1yobgserv</f>
        <v>0</v>
      </c>
      <c r="Y2" s="11">
        <f>t1yobgprof</f>
        <v>0</v>
      </c>
      <c r="Z2" s="11">
        <f>t1yobgcbo</f>
        <v>0</v>
      </c>
      <c r="AA2" s="11">
        <f>t1yobgequip</f>
        <v>0</v>
      </c>
      <c r="AB2" s="11">
        <f>t1yobgadmin</f>
        <v>0</v>
      </c>
      <c r="AC2" s="11">
        <f>t1yobgothr1</f>
        <v>0</v>
      </c>
      <c r="AD2" s="11">
        <f>t1yobgothr2</f>
        <v>0</v>
      </c>
      <c r="AE2" s="11">
        <f>t1yobgothr3</f>
        <v>0</v>
      </c>
      <c r="AF2" s="11">
        <f>t1yobgtot</f>
        <v>0</v>
      </c>
      <c r="AG2" s="11">
        <f>t1jjcpasal</f>
        <v>3274422</v>
      </c>
      <c r="AH2" s="11">
        <f>t1jjcpaserv</f>
        <v>1268709</v>
      </c>
      <c r="AI2" s="11">
        <f>t1jjcpaprof</f>
        <v>244428</v>
      </c>
      <c r="AJ2" s="11">
        <f>t1jjcpacbo</f>
        <v>110449</v>
      </c>
      <c r="AK2" s="11">
        <f>t1jjcpaequip</f>
        <v>0</v>
      </c>
      <c r="AL2" s="11">
        <f>t1jjcpaadmin</f>
        <v>0</v>
      </c>
      <c r="AM2" s="11">
        <f>t1jjcpaothr1</f>
        <v>0</v>
      </c>
      <c r="AN2" s="11">
        <f>t1jjcpaothr2</f>
        <v>0</v>
      </c>
      <c r="AO2" s="11">
        <f>t1jjcpaothr3</f>
        <v>0</v>
      </c>
      <c r="AP2" s="11">
        <f>t1jjcpatot</f>
        <v>4898008</v>
      </c>
      <c r="AQ2" s="11">
        <f>t1othersal</f>
        <v>0</v>
      </c>
      <c r="AR2" s="11">
        <f>t1otherserv</f>
        <v>0</v>
      </c>
      <c r="AS2" s="11">
        <f>t1otherprof</f>
        <v>0</v>
      </c>
      <c r="AT2" s="11">
        <f>t1othercbo</f>
        <v>0</v>
      </c>
      <c r="AU2" s="11">
        <f>t1otherequip</f>
        <v>0</v>
      </c>
      <c r="AV2" s="11">
        <f>t1otheradmin</f>
        <v>0</v>
      </c>
      <c r="AW2" s="11">
        <f>t1otherothr1</f>
        <v>0</v>
      </c>
      <c r="AX2" s="11">
        <f>t1otherothr2</f>
        <v>0</v>
      </c>
      <c r="AY2" s="11">
        <f>t1otherothr3</f>
        <v>0</v>
      </c>
      <c r="AZ2" s="11">
        <f>t1othertot</f>
        <v>0</v>
      </c>
      <c r="BA2" s="9" t="e">
        <f>t1casecount</f>
        <v>#REF!</v>
      </c>
      <c r="BB2" s="12" t="e">
        <f>t1yobgpercap</f>
        <v>#REF!</v>
      </c>
      <c r="BC2" s="12" t="e">
        <f>t1totpercap</f>
        <v>#REF!</v>
      </c>
      <c r="BD2" s="9" t="e">
        <f>t1youth1</f>
        <v>#REF!</v>
      </c>
      <c r="BE2" s="9" t="e">
        <f>t1youth2</f>
        <v>#REF!</v>
      </c>
      <c r="BF2" s="9" t="e">
        <f>t1youth3</f>
        <v>#REF!</v>
      </c>
      <c r="BG2" s="9" t="e">
        <f>t1youth4</f>
        <v>#REF!</v>
      </c>
      <c r="BH2" s="9" t="e">
        <f>t1youth5</f>
        <v>#REF!</v>
      </c>
      <c r="BI2" s="9" t="e">
        <f>t1youth6</f>
        <v>#REF!</v>
      </c>
      <c r="BJ2" s="13" t="e">
        <f>Numecodet2</f>
        <v>#REF!</v>
      </c>
      <c r="BK2" s="10" t="e">
        <f>Numealtt2</f>
        <v>#REF!</v>
      </c>
      <c r="BL2" s="11" t="e">
        <f>t2yobgsal</f>
        <v>#REF!</v>
      </c>
      <c r="BM2" s="11" t="e">
        <f>t2yobgserv</f>
        <v>#REF!</v>
      </c>
      <c r="BN2" s="11" t="e">
        <f>t2yobgprof</f>
        <v>#REF!</v>
      </c>
      <c r="BO2" s="11" t="e">
        <f>t2yobgcbo</f>
        <v>#REF!</v>
      </c>
      <c r="BP2" s="11" t="e">
        <f>t2yobgequip</f>
        <v>#REF!</v>
      </c>
      <c r="BQ2" s="11" t="e">
        <f>t2yobgadmin</f>
        <v>#REF!</v>
      </c>
      <c r="BR2" s="11" t="e">
        <f>t2yobgothr1</f>
        <v>#REF!</v>
      </c>
      <c r="BS2" s="11" t="e">
        <f>t2yobgothr2</f>
        <v>#REF!</v>
      </c>
      <c r="BT2" s="11" t="e">
        <f>t2yobgothr3</f>
        <v>#REF!</v>
      </c>
      <c r="BU2" s="11" t="e">
        <f>t2yobgtot</f>
        <v>#REF!</v>
      </c>
      <c r="BV2" s="11" t="e">
        <f>t2jjcpasal</f>
        <v>#REF!</v>
      </c>
      <c r="BW2" s="11" t="e">
        <f>t2jjcpaserv</f>
        <v>#REF!</v>
      </c>
      <c r="BX2" s="11" t="e">
        <f>t2jjcpaprof</f>
        <v>#REF!</v>
      </c>
      <c r="BY2" s="11" t="e">
        <f>t2jjcpacbo</f>
        <v>#REF!</v>
      </c>
      <c r="BZ2" s="11" t="e">
        <f>t2jjcpaequip</f>
        <v>#REF!</v>
      </c>
      <c r="CA2" s="11" t="e">
        <f>t2jjcpaadmin</f>
        <v>#REF!</v>
      </c>
      <c r="CB2" s="11" t="e">
        <f>t2jjcpaothr1</f>
        <v>#REF!</v>
      </c>
      <c r="CC2" s="11" t="e">
        <f>t2jjcpaothr2</f>
        <v>#REF!</v>
      </c>
      <c r="CD2" s="11" t="e">
        <f>t2jjcpaothr3</f>
        <v>#REF!</v>
      </c>
      <c r="CE2" s="11" t="e">
        <f>t2jjcpatot</f>
        <v>#REF!</v>
      </c>
      <c r="CF2" s="11" t="e">
        <f>t2othersal</f>
        <v>#REF!</v>
      </c>
      <c r="CG2" s="11" t="e">
        <f>t2otherserv</f>
        <v>#REF!</v>
      </c>
      <c r="CH2" s="11" t="e">
        <f>t2otherprof</f>
        <v>#REF!</v>
      </c>
      <c r="CI2" s="11" t="e">
        <f>t2othercbo</f>
        <v>#REF!</v>
      </c>
      <c r="CJ2" s="11" t="e">
        <f>t2otherequip</f>
        <v>#REF!</v>
      </c>
      <c r="CK2" s="11" t="e">
        <f>t2otheradmin</f>
        <v>#REF!</v>
      </c>
      <c r="CL2" s="11" t="e">
        <f>t2otherothr1</f>
        <v>#REF!</v>
      </c>
      <c r="CM2" s="11" t="e">
        <f>t2otherothr2</f>
        <v>#REF!</v>
      </c>
      <c r="CN2" s="11" t="e">
        <f>t2otherothr3</f>
        <v>#REF!</v>
      </c>
      <c r="CO2" s="11" t="e">
        <f>t2othertot</f>
        <v>#REF!</v>
      </c>
      <c r="CP2" s="9" t="e">
        <f>t2casecount</f>
        <v>#REF!</v>
      </c>
      <c r="CQ2" s="12" t="e">
        <f>t2yobgpercap</f>
        <v>#REF!</v>
      </c>
      <c r="CR2" s="12" t="e">
        <f>t2totpercap</f>
        <v>#REF!</v>
      </c>
      <c r="CS2" s="9" t="e">
        <f>t2youth1</f>
        <v>#REF!</v>
      </c>
      <c r="CT2" s="9" t="e">
        <f>t2youth2</f>
        <v>#REF!</v>
      </c>
      <c r="CU2" s="9" t="e">
        <f>t2youth3</f>
        <v>#REF!</v>
      </c>
      <c r="CV2" s="9" t="e">
        <f>t2youth4</f>
        <v>#REF!</v>
      </c>
      <c r="CW2" s="9" t="e">
        <f>t2youth5</f>
        <v>#REF!</v>
      </c>
      <c r="CX2" s="9" t="e">
        <f>t2youth6</f>
        <v>#REF!</v>
      </c>
      <c r="CY2" s="13" t="e">
        <f>Numecodet3</f>
        <v>#REF!</v>
      </c>
      <c r="CZ2" s="10" t="e">
        <f>Numealtt3</f>
        <v>#REF!</v>
      </c>
      <c r="DA2" s="11" t="e">
        <f>t3yobgsal</f>
        <v>#REF!</v>
      </c>
      <c r="DB2" s="11" t="e">
        <f>t3yobgserv</f>
        <v>#REF!</v>
      </c>
      <c r="DC2" s="11" t="e">
        <f>t3yobgprof</f>
        <v>#REF!</v>
      </c>
      <c r="DD2" s="11" t="e">
        <f>t3yobgcbo</f>
        <v>#REF!</v>
      </c>
      <c r="DE2" s="11" t="e">
        <f>t3yobgequip</f>
        <v>#REF!</v>
      </c>
      <c r="DF2" s="11" t="e">
        <f>t3yobgadmin</f>
        <v>#REF!</v>
      </c>
      <c r="DG2" s="11" t="e">
        <f>t3yobgothr1</f>
        <v>#REF!</v>
      </c>
      <c r="DH2" s="11" t="e">
        <f>t3yobgothr2</f>
        <v>#REF!</v>
      </c>
      <c r="DI2" s="11" t="e">
        <f>t3yobgothr3</f>
        <v>#REF!</v>
      </c>
      <c r="DJ2" s="11" t="e">
        <f>t3yobgtot</f>
        <v>#REF!</v>
      </c>
      <c r="DK2" s="11" t="e">
        <f>t3jjcpasal</f>
        <v>#REF!</v>
      </c>
      <c r="DL2" s="11" t="e">
        <f>t3jjcpaserv</f>
        <v>#REF!</v>
      </c>
      <c r="DM2" s="11" t="e">
        <f>t3jjcpaprof</f>
        <v>#REF!</v>
      </c>
      <c r="DN2" s="11" t="e">
        <f>t3jjcpacbo</f>
        <v>#REF!</v>
      </c>
      <c r="DO2" s="11" t="e">
        <f>t3jjcpaequip</f>
        <v>#REF!</v>
      </c>
      <c r="DP2" s="11" t="e">
        <f>t3jjcpaadmin</f>
        <v>#REF!</v>
      </c>
      <c r="DQ2" s="11" t="e">
        <f>t3jjcpaothr1</f>
        <v>#REF!</v>
      </c>
      <c r="DR2" s="11" t="e">
        <f>t3jjcpaothr2</f>
        <v>#REF!</v>
      </c>
      <c r="DS2" s="11" t="e">
        <f>t3jjcpaothr3</f>
        <v>#REF!</v>
      </c>
      <c r="DT2" s="11" t="e">
        <f>t3jjcpatot</f>
        <v>#REF!</v>
      </c>
      <c r="DU2" s="11" t="e">
        <f>t3othersal</f>
        <v>#REF!</v>
      </c>
      <c r="DV2" s="11" t="e">
        <f>t3otherserv</f>
        <v>#REF!</v>
      </c>
      <c r="DW2" s="11" t="e">
        <f>t3otherprof</f>
        <v>#REF!</v>
      </c>
      <c r="DX2" s="11" t="e">
        <f>t3othercbo</f>
        <v>#REF!</v>
      </c>
      <c r="DY2" s="11" t="e">
        <f>t3otherequip</f>
        <v>#REF!</v>
      </c>
      <c r="DZ2" s="11" t="e">
        <f>t3otheradmin</f>
        <v>#REF!</v>
      </c>
      <c r="EA2" s="11" t="e">
        <f>t3otherothr1</f>
        <v>#REF!</v>
      </c>
      <c r="EB2" s="11" t="e">
        <f>t3otherothr2</f>
        <v>#REF!</v>
      </c>
      <c r="EC2" s="11" t="e">
        <f>t3otherothr3</f>
        <v>#REF!</v>
      </c>
      <c r="ED2" s="11" t="e">
        <f>t3othertot</f>
        <v>#REF!</v>
      </c>
      <c r="EE2" s="9" t="e">
        <f>t3casecount</f>
        <v>#REF!</v>
      </c>
      <c r="EF2" s="12" t="e">
        <f>t3yobgpercap</f>
        <v>#REF!</v>
      </c>
      <c r="EG2" s="12" t="e">
        <f>t3totpercap</f>
        <v>#REF!</v>
      </c>
      <c r="EH2" s="9" t="e">
        <f>t3youth1</f>
        <v>#REF!</v>
      </c>
      <c r="EI2" s="9" t="e">
        <f>t3youth2</f>
        <v>#REF!</v>
      </c>
      <c r="EJ2" s="9" t="e">
        <f>t3youth3</f>
        <v>#REF!</v>
      </c>
      <c r="EK2" s="9" t="e">
        <f>t3youth4</f>
        <v>#REF!</v>
      </c>
      <c r="EL2" s="9" t="e">
        <f>t3youth5</f>
        <v>#REF!</v>
      </c>
      <c r="EM2" s="9" t="e">
        <f>t3youth6</f>
        <v>#REF!</v>
      </c>
      <c r="EN2" s="13" t="e">
        <f>Numecodet4</f>
        <v>#REF!</v>
      </c>
      <c r="EO2" s="10" t="e">
        <f>Numealtt4</f>
        <v>#REF!</v>
      </c>
      <c r="EP2" s="11" t="e">
        <f>t4yobgsal</f>
        <v>#REF!</v>
      </c>
      <c r="EQ2" s="11" t="e">
        <f>t4yobgserv</f>
        <v>#REF!</v>
      </c>
      <c r="ER2" s="11" t="e">
        <f>t4yobgprof</f>
        <v>#REF!</v>
      </c>
      <c r="ES2" s="11" t="e">
        <f>t4yobgcbo</f>
        <v>#REF!</v>
      </c>
      <c r="ET2" s="11" t="e">
        <f>t4yobgequip</f>
        <v>#REF!</v>
      </c>
      <c r="EU2" s="11" t="e">
        <f>t4yobgadmin</f>
        <v>#REF!</v>
      </c>
      <c r="EV2" s="11" t="e">
        <f>t4yobgothr1</f>
        <v>#REF!</v>
      </c>
      <c r="EW2" s="11" t="e">
        <f>t4yobgothr2</f>
        <v>#REF!</v>
      </c>
      <c r="EX2" s="11" t="e">
        <f>t4yobgothr3</f>
        <v>#REF!</v>
      </c>
      <c r="EY2" s="11" t="e">
        <f>t4yobgtot</f>
        <v>#REF!</v>
      </c>
      <c r="EZ2" s="11" t="e">
        <f>t4jjcpasal</f>
        <v>#REF!</v>
      </c>
      <c r="FA2" s="11" t="e">
        <f>t4jjcpaserv</f>
        <v>#REF!</v>
      </c>
      <c r="FB2" s="11" t="e">
        <f>t4jjcpaprof</f>
        <v>#REF!</v>
      </c>
      <c r="FC2" s="11" t="e">
        <f>t4jjcpacbo</f>
        <v>#REF!</v>
      </c>
      <c r="FD2" s="11" t="e">
        <f>t4jjcpaequip</f>
        <v>#REF!</v>
      </c>
      <c r="FE2" s="11" t="e">
        <f>t4jjcpaadmin</f>
        <v>#REF!</v>
      </c>
      <c r="FF2" s="11" t="e">
        <f>t4jjcpaothr1</f>
        <v>#REF!</v>
      </c>
      <c r="FG2" s="11" t="e">
        <f>t4jjcpaothr2</f>
        <v>#REF!</v>
      </c>
      <c r="FH2" s="11" t="e">
        <f>t4jjcpaothr3</f>
        <v>#REF!</v>
      </c>
      <c r="FI2" s="11" t="e">
        <f>t4jjcpatot</f>
        <v>#REF!</v>
      </c>
      <c r="FJ2" s="11" t="e">
        <f>t4othersal</f>
        <v>#REF!</v>
      </c>
      <c r="FK2" s="11" t="e">
        <f>t4otherserv</f>
        <v>#REF!</v>
      </c>
      <c r="FL2" s="11" t="e">
        <f>t4otherprof</f>
        <v>#REF!</v>
      </c>
      <c r="FM2" s="11" t="e">
        <f>t4othercbo</f>
        <v>#REF!</v>
      </c>
      <c r="FN2" s="11" t="e">
        <f>t4otherequip</f>
        <v>#REF!</v>
      </c>
      <c r="FO2" s="11" t="e">
        <f>t4otheradmin</f>
        <v>#REF!</v>
      </c>
      <c r="FP2" s="11" t="e">
        <f>t4otherothr1</f>
        <v>#REF!</v>
      </c>
      <c r="FQ2" s="11" t="e">
        <f>t4otherothr2</f>
        <v>#REF!</v>
      </c>
      <c r="FR2" s="11" t="e">
        <f>t4otherothr3</f>
        <v>#REF!</v>
      </c>
      <c r="FS2" s="11" t="e">
        <f>t4othertot</f>
        <v>#REF!</v>
      </c>
      <c r="FT2" s="9" t="e">
        <f>t4casecount</f>
        <v>#REF!</v>
      </c>
      <c r="FU2" s="12" t="e">
        <f>t4yobgpercap</f>
        <v>#REF!</v>
      </c>
      <c r="FV2" s="12" t="e">
        <f>t4totpercap</f>
        <v>#REF!</v>
      </c>
      <c r="FW2" s="9" t="e">
        <f>t4youth1</f>
        <v>#REF!</v>
      </c>
      <c r="FX2" s="9" t="e">
        <f>t4youth2</f>
        <v>#REF!</v>
      </c>
      <c r="FY2" s="9" t="e">
        <f>t4youth3</f>
        <v>#REF!</v>
      </c>
      <c r="FZ2" s="9" t="e">
        <f>t4youth4</f>
        <v>#REF!</v>
      </c>
      <c r="GA2" s="9" t="e">
        <f>t4youth5</f>
        <v>#REF!</v>
      </c>
      <c r="GB2" s="9" t="e">
        <f>t4youth6</f>
        <v>#REF!</v>
      </c>
      <c r="GC2" s="13" t="e">
        <f>Numecodet5</f>
        <v>#REF!</v>
      </c>
      <c r="GD2" s="10" t="e">
        <f>Numealtt5</f>
        <v>#REF!</v>
      </c>
      <c r="GE2" s="11" t="e">
        <f>t5yobgsal</f>
        <v>#REF!</v>
      </c>
      <c r="GF2" s="11" t="e">
        <f>t5yobgserv</f>
        <v>#REF!</v>
      </c>
      <c r="GG2" s="11" t="e">
        <f>t5yobgprof</f>
        <v>#REF!</v>
      </c>
      <c r="GH2" s="11" t="e">
        <f>t5yobgcbo</f>
        <v>#REF!</v>
      </c>
      <c r="GI2" s="11" t="e">
        <f>t5yobgequip</f>
        <v>#REF!</v>
      </c>
      <c r="GJ2" s="11" t="e">
        <f>t5yobgadmin</f>
        <v>#REF!</v>
      </c>
      <c r="GK2" s="11" t="e">
        <f>t5yobgothr1</f>
        <v>#REF!</v>
      </c>
      <c r="GL2" s="11" t="e">
        <f>t5yobgothr2</f>
        <v>#REF!</v>
      </c>
      <c r="GM2" s="11" t="e">
        <f>t5yobgothr3</f>
        <v>#REF!</v>
      </c>
      <c r="GN2" s="11" t="e">
        <f>t5yobgtot</f>
        <v>#REF!</v>
      </c>
      <c r="GO2" s="11" t="e">
        <f>t5jjcpasal</f>
        <v>#REF!</v>
      </c>
      <c r="GP2" s="11" t="e">
        <f>t5jjcpaserv</f>
        <v>#REF!</v>
      </c>
      <c r="GQ2" s="11" t="e">
        <f>t5jjcpaprof</f>
        <v>#REF!</v>
      </c>
      <c r="GR2" s="11" t="e">
        <f>t5jjcpacbo</f>
        <v>#REF!</v>
      </c>
      <c r="GS2" s="11" t="e">
        <f>t5jjcpaequip</f>
        <v>#REF!</v>
      </c>
      <c r="GT2" s="11" t="e">
        <f>t5jjcpaadmin</f>
        <v>#REF!</v>
      </c>
      <c r="GU2" s="11" t="e">
        <f>t5jjcpaothr1</f>
        <v>#REF!</v>
      </c>
      <c r="GV2" s="11" t="e">
        <f>t5jjcpaothr2</f>
        <v>#REF!</v>
      </c>
      <c r="GW2" s="11" t="e">
        <f>t5jjcpaothr3</f>
        <v>#REF!</v>
      </c>
      <c r="GX2" s="11" t="e">
        <f>t5jjcpatot</f>
        <v>#REF!</v>
      </c>
      <c r="GY2" s="11" t="e">
        <f>t5othersal</f>
        <v>#REF!</v>
      </c>
      <c r="GZ2" s="11" t="e">
        <f>t5otherserv</f>
        <v>#REF!</v>
      </c>
      <c r="HA2" s="11" t="e">
        <f>t5otherprof</f>
        <v>#REF!</v>
      </c>
      <c r="HB2" s="11" t="e">
        <f>t5othercbo</f>
        <v>#REF!</v>
      </c>
      <c r="HC2" s="11" t="e">
        <f>t5otherequip</f>
        <v>#REF!</v>
      </c>
      <c r="HD2" s="11" t="e">
        <f>t5otheradmin</f>
        <v>#REF!</v>
      </c>
      <c r="HE2" s="11" t="e">
        <f>t5otherothr1</f>
        <v>#REF!</v>
      </c>
      <c r="HF2" s="11" t="e">
        <f>t5otherothr2</f>
        <v>#REF!</v>
      </c>
      <c r="HG2" s="11" t="e">
        <f>t5otherothr3</f>
        <v>#REF!</v>
      </c>
      <c r="HH2" s="11" t="e">
        <f>t5othertot</f>
        <v>#REF!</v>
      </c>
      <c r="HI2" s="9" t="e">
        <f>t5casecount</f>
        <v>#REF!</v>
      </c>
      <c r="HJ2" s="12" t="e">
        <f>t5yobgpercap</f>
        <v>#REF!</v>
      </c>
      <c r="HK2" s="12" t="e">
        <f>t5totpercap</f>
        <v>#REF!</v>
      </c>
      <c r="HL2" s="9" t="e">
        <f>t5youth1</f>
        <v>#REF!</v>
      </c>
      <c r="HM2" s="9" t="e">
        <f>t5youth2</f>
        <v>#REF!</v>
      </c>
      <c r="HN2" s="9" t="e">
        <f>t5youth3</f>
        <v>#REF!</v>
      </c>
      <c r="HO2" s="9" t="e">
        <f>t5youth4</f>
        <v>#REF!</v>
      </c>
      <c r="HP2" s="9" t="e">
        <f>t5youth5</f>
        <v>#REF!</v>
      </c>
      <c r="HQ2" s="9" t="e">
        <f>t5youth6</f>
        <v>#REF!</v>
      </c>
    </row>
  </sheetData>
  <sheetProtection password="CB13" sheet="1"/>
  <dataValidations count="1">
    <dataValidation type="list" allowBlank="1" showDropDown="1" showInputMessage="1" showErrorMessage="1" sqref="E2" xr:uid="{00000000-0002-0000-1000-000000000000}">
      <formula1>Address2</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HQ2"/>
  <sheetViews>
    <sheetView workbookViewId="0">
      <selection activeCell="H26" sqref="H26:I26"/>
    </sheetView>
  </sheetViews>
  <sheetFormatPr defaultRowHeight="13.2" x14ac:dyDescent="0.25"/>
  <sheetData>
    <row r="1" spans="1:225" x14ac:dyDescent="0.25">
      <c r="A1" t="s">
        <v>539</v>
      </c>
      <c r="B1" t="s">
        <v>747</v>
      </c>
      <c r="C1" t="s">
        <v>748</v>
      </c>
      <c r="D1" t="s">
        <v>749</v>
      </c>
      <c r="E1" t="s">
        <v>750</v>
      </c>
      <c r="F1" t="s">
        <v>0</v>
      </c>
      <c r="G1" t="s">
        <v>1</v>
      </c>
      <c r="H1" t="s">
        <v>2</v>
      </c>
      <c r="I1" t="s">
        <v>3</v>
      </c>
      <c r="J1" t="s">
        <v>4</v>
      </c>
      <c r="K1" t="s">
        <v>5</v>
      </c>
      <c r="L1" t="s">
        <v>6</v>
      </c>
      <c r="M1" t="s">
        <v>7</v>
      </c>
      <c r="N1" t="s">
        <v>8</v>
      </c>
      <c r="O1" t="s">
        <v>9</v>
      </c>
      <c r="P1" t="s">
        <v>10</v>
      </c>
      <c r="Q1" t="s">
        <v>11</v>
      </c>
      <c r="R1" t="s">
        <v>12</v>
      </c>
      <c r="S1" t="s">
        <v>13</v>
      </c>
      <c r="T1" t="s">
        <v>14</v>
      </c>
      <c r="U1" t="s">
        <v>15</v>
      </c>
      <c r="V1" t="s">
        <v>16</v>
      </c>
      <c r="W1" t="s">
        <v>17</v>
      </c>
      <c r="X1" t="s">
        <v>18</v>
      </c>
      <c r="Y1" t="s">
        <v>19</v>
      </c>
      <c r="Z1" t="s">
        <v>20</v>
      </c>
      <c r="AA1" t="s">
        <v>21</v>
      </c>
      <c r="AB1" t="s">
        <v>22</v>
      </c>
      <c r="AC1" t="s">
        <v>23</v>
      </c>
      <c r="AD1" t="s">
        <v>24</v>
      </c>
      <c r="AE1" t="s">
        <v>25</v>
      </c>
      <c r="AF1" t="s">
        <v>26</v>
      </c>
      <c r="AG1" t="s">
        <v>27</v>
      </c>
      <c r="AH1" t="s">
        <v>28</v>
      </c>
      <c r="AI1" t="s">
        <v>29</v>
      </c>
      <c r="AJ1" t="s">
        <v>30</v>
      </c>
      <c r="AK1" t="s">
        <v>32</v>
      </c>
      <c r="AL1" t="s">
        <v>33</v>
      </c>
      <c r="AM1" t="s">
        <v>34</v>
      </c>
      <c r="AN1" t="s">
        <v>35</v>
      </c>
      <c r="AO1" t="s">
        <v>229</v>
      </c>
      <c r="AP1" t="s">
        <v>230</v>
      </c>
      <c r="AQ1" t="s">
        <v>36</v>
      </c>
      <c r="AR1" t="s">
        <v>37</v>
      </c>
      <c r="AS1" t="s">
        <v>38</v>
      </c>
      <c r="AT1" t="s">
        <v>39</v>
      </c>
      <c r="AU1" t="s">
        <v>40</v>
      </c>
      <c r="AV1" t="s">
        <v>41</v>
      </c>
      <c r="AW1" t="s">
        <v>42</v>
      </c>
      <c r="AX1" t="s">
        <v>43</v>
      </c>
      <c r="AY1" t="s">
        <v>44</v>
      </c>
      <c r="AZ1" t="s">
        <v>45</v>
      </c>
      <c r="BA1" t="s">
        <v>46</v>
      </c>
      <c r="BB1" t="s">
        <v>47</v>
      </c>
      <c r="BC1" t="s">
        <v>48</v>
      </c>
      <c r="BD1" t="s">
        <v>49</v>
      </c>
      <c r="BE1" t="s">
        <v>50</v>
      </c>
      <c r="BF1" t="s">
        <v>51</v>
      </c>
      <c r="BG1" t="s">
        <v>52</v>
      </c>
      <c r="BH1" t="s">
        <v>53</v>
      </c>
      <c r="BI1" t="s">
        <v>54</v>
      </c>
      <c r="BJ1" t="s">
        <v>55</v>
      </c>
      <c r="BK1" t="s">
        <v>56</v>
      </c>
      <c r="BL1" t="s">
        <v>57</v>
      </c>
      <c r="BM1" t="s">
        <v>58</v>
      </c>
      <c r="BN1" t="s">
        <v>59</v>
      </c>
      <c r="BO1" t="s">
        <v>60</v>
      </c>
      <c r="BP1" t="s">
        <v>61</v>
      </c>
      <c r="BQ1" t="s">
        <v>62</v>
      </c>
      <c r="BR1" t="s">
        <v>63</v>
      </c>
      <c r="BS1" t="s">
        <v>64</v>
      </c>
      <c r="BT1" t="s">
        <v>65</v>
      </c>
      <c r="BU1" t="s">
        <v>66</v>
      </c>
      <c r="BV1" t="s">
        <v>67</v>
      </c>
      <c r="BW1" t="s">
        <v>68</v>
      </c>
      <c r="BX1" t="s">
        <v>69</v>
      </c>
      <c r="BY1" t="s">
        <v>70</v>
      </c>
      <c r="BZ1" t="s">
        <v>72</v>
      </c>
      <c r="CA1" t="s">
        <v>73</v>
      </c>
      <c r="CB1" t="s">
        <v>74</v>
      </c>
      <c r="CC1" t="s">
        <v>75</v>
      </c>
      <c r="CD1" t="s">
        <v>231</v>
      </c>
      <c r="CE1" t="s">
        <v>232</v>
      </c>
      <c r="CF1" t="s">
        <v>76</v>
      </c>
      <c r="CG1" t="s">
        <v>77</v>
      </c>
      <c r="CH1" t="s">
        <v>78</v>
      </c>
      <c r="CI1" t="s">
        <v>79</v>
      </c>
      <c r="CJ1" t="s">
        <v>80</v>
      </c>
      <c r="CK1" t="s">
        <v>81</v>
      </c>
      <c r="CL1" t="s">
        <v>82</v>
      </c>
      <c r="CM1" t="s">
        <v>83</v>
      </c>
      <c r="CN1" t="s">
        <v>84</v>
      </c>
      <c r="CO1" t="s">
        <v>85</v>
      </c>
      <c r="CP1" t="s">
        <v>86</v>
      </c>
      <c r="CQ1" t="s">
        <v>87</v>
      </c>
      <c r="CR1" t="s">
        <v>88</v>
      </c>
      <c r="CS1" t="s">
        <v>89</v>
      </c>
      <c r="CT1" t="s">
        <v>90</v>
      </c>
      <c r="CU1" t="s">
        <v>91</v>
      </c>
      <c r="CV1" t="s">
        <v>92</v>
      </c>
      <c r="CW1" t="s">
        <v>93</v>
      </c>
      <c r="CX1" t="s">
        <v>94</v>
      </c>
      <c r="CY1" t="s">
        <v>95</v>
      </c>
      <c r="CZ1" t="s">
        <v>96</v>
      </c>
      <c r="DA1" t="s">
        <v>97</v>
      </c>
      <c r="DB1" t="s">
        <v>98</v>
      </c>
      <c r="DC1" t="s">
        <v>99</v>
      </c>
      <c r="DD1" t="s">
        <v>100</v>
      </c>
      <c r="DE1" t="s">
        <v>101</v>
      </c>
      <c r="DF1" t="s">
        <v>102</v>
      </c>
      <c r="DG1" t="s">
        <v>103</v>
      </c>
      <c r="DH1" t="s">
        <v>104</v>
      </c>
      <c r="DI1" t="s">
        <v>105</v>
      </c>
      <c r="DJ1" t="s">
        <v>106</v>
      </c>
      <c r="DK1" t="s">
        <v>107</v>
      </c>
      <c r="DL1" t="s">
        <v>108</v>
      </c>
      <c r="DM1" t="s">
        <v>109</v>
      </c>
      <c r="DN1" t="s">
        <v>110</v>
      </c>
      <c r="DO1" t="s">
        <v>111</v>
      </c>
      <c r="DP1" t="s">
        <v>112</v>
      </c>
      <c r="DQ1" t="s">
        <v>113</v>
      </c>
      <c r="DR1" t="s">
        <v>114</v>
      </c>
      <c r="DS1" t="s">
        <v>233</v>
      </c>
      <c r="DT1" t="s">
        <v>234</v>
      </c>
      <c r="DU1" t="s">
        <v>115</v>
      </c>
      <c r="DV1" t="s">
        <v>117</v>
      </c>
      <c r="DW1" t="s">
        <v>118</v>
      </c>
      <c r="DX1" t="s">
        <v>119</v>
      </c>
      <c r="DY1" t="s">
        <v>120</v>
      </c>
      <c r="DZ1" t="s">
        <v>121</v>
      </c>
      <c r="EA1" t="s">
        <v>122</v>
      </c>
      <c r="EB1" t="s">
        <v>123</v>
      </c>
      <c r="EC1" t="s">
        <v>124</v>
      </c>
      <c r="ED1" t="s">
        <v>125</v>
      </c>
      <c r="EE1" t="s">
        <v>126</v>
      </c>
      <c r="EF1" t="s">
        <v>127</v>
      </c>
      <c r="EG1" t="s">
        <v>128</v>
      </c>
      <c r="EH1" t="s">
        <v>129</v>
      </c>
      <c r="EI1" t="s">
        <v>130</v>
      </c>
      <c r="EJ1" t="s">
        <v>131</v>
      </c>
      <c r="EK1" t="s">
        <v>132</v>
      </c>
      <c r="EL1" t="s">
        <v>133</v>
      </c>
      <c r="EM1" t="s">
        <v>134</v>
      </c>
      <c r="EN1" t="s">
        <v>135</v>
      </c>
      <c r="EO1" t="s">
        <v>136</v>
      </c>
      <c r="EP1" t="s">
        <v>137</v>
      </c>
      <c r="EQ1" t="s">
        <v>138</v>
      </c>
      <c r="ER1" t="s">
        <v>139</v>
      </c>
      <c r="ES1" t="s">
        <v>140</v>
      </c>
      <c r="ET1" t="s">
        <v>141</v>
      </c>
      <c r="EU1" t="s">
        <v>142</v>
      </c>
      <c r="EV1" t="s">
        <v>143</v>
      </c>
      <c r="EW1" t="s">
        <v>144</v>
      </c>
      <c r="EX1" t="s">
        <v>145</v>
      </c>
      <c r="EY1" t="s">
        <v>146</v>
      </c>
      <c r="EZ1" t="s">
        <v>147</v>
      </c>
      <c r="FA1" t="s">
        <v>148</v>
      </c>
      <c r="FB1" t="s">
        <v>149</v>
      </c>
      <c r="FC1" t="s">
        <v>150</v>
      </c>
      <c r="FD1" t="s">
        <v>153</v>
      </c>
      <c r="FE1" t="s">
        <v>154</v>
      </c>
      <c r="FF1" t="s">
        <v>155</v>
      </c>
      <c r="FG1" t="s">
        <v>156</v>
      </c>
      <c r="FH1" t="s">
        <v>235</v>
      </c>
      <c r="FI1" t="s">
        <v>236</v>
      </c>
      <c r="FJ1" t="s">
        <v>158</v>
      </c>
      <c r="FK1" t="s">
        <v>189</v>
      </c>
      <c r="FL1" t="s">
        <v>328</v>
      </c>
      <c r="FM1" t="s">
        <v>329</v>
      </c>
      <c r="FN1" t="s">
        <v>330</v>
      </c>
      <c r="FO1" t="s">
        <v>331</v>
      </c>
      <c r="FP1" t="s">
        <v>332</v>
      </c>
      <c r="FQ1" t="s">
        <v>333</v>
      </c>
      <c r="FR1" t="s">
        <v>334</v>
      </c>
      <c r="FS1" t="s">
        <v>335</v>
      </c>
      <c r="FT1" t="s">
        <v>336</v>
      </c>
      <c r="FU1" t="s">
        <v>337</v>
      </c>
      <c r="FV1" t="s">
        <v>338</v>
      </c>
      <c r="FW1" t="s">
        <v>339</v>
      </c>
      <c r="FX1" t="s">
        <v>340</v>
      </c>
      <c r="FY1" t="s">
        <v>341</v>
      </c>
      <c r="FZ1" t="s">
        <v>342</v>
      </c>
      <c r="GA1" t="s">
        <v>343</v>
      </c>
      <c r="GB1" t="s">
        <v>344</v>
      </c>
      <c r="GC1" t="s">
        <v>345</v>
      </c>
      <c r="GD1" t="s">
        <v>346</v>
      </c>
      <c r="GE1" t="s">
        <v>347</v>
      </c>
      <c r="GF1" t="s">
        <v>348</v>
      </c>
      <c r="GG1" t="s">
        <v>349</v>
      </c>
      <c r="GH1" t="s">
        <v>350</v>
      </c>
      <c r="GI1" t="s">
        <v>351</v>
      </c>
      <c r="GJ1" t="s">
        <v>352</v>
      </c>
      <c r="GK1" t="s">
        <v>353</v>
      </c>
      <c r="GL1" t="s">
        <v>354</v>
      </c>
      <c r="GM1" t="s">
        <v>355</v>
      </c>
      <c r="GN1" t="s">
        <v>356</v>
      </c>
      <c r="GO1" t="s">
        <v>357</v>
      </c>
      <c r="GP1" t="s">
        <v>358</v>
      </c>
      <c r="GQ1" t="s">
        <v>157</v>
      </c>
      <c r="GR1" t="s">
        <v>359</v>
      </c>
      <c r="GS1" t="s">
        <v>361</v>
      </c>
      <c r="GT1" t="s">
        <v>362</v>
      </c>
      <c r="GU1" t="s">
        <v>363</v>
      </c>
      <c r="GV1" t="s">
        <v>364</v>
      </c>
      <c r="GW1" t="s">
        <v>237</v>
      </c>
      <c r="GX1" t="s">
        <v>238</v>
      </c>
      <c r="GY1" t="s">
        <v>239</v>
      </c>
      <c r="GZ1" t="s">
        <v>370</v>
      </c>
      <c r="HA1" t="s">
        <v>240</v>
      </c>
      <c r="HB1" t="s">
        <v>241</v>
      </c>
      <c r="HC1" t="s">
        <v>242</v>
      </c>
      <c r="HD1" t="s">
        <v>243</v>
      </c>
      <c r="HE1" t="s">
        <v>244</v>
      </c>
      <c r="HF1" t="s">
        <v>245</v>
      </c>
      <c r="HG1" t="s">
        <v>246</v>
      </c>
      <c r="HH1" t="s">
        <v>247</v>
      </c>
      <c r="HI1" t="s">
        <v>248</v>
      </c>
      <c r="HJ1" t="s">
        <v>249</v>
      </c>
      <c r="HK1" t="s">
        <v>253</v>
      </c>
      <c r="HL1" t="s">
        <v>251</v>
      </c>
      <c r="HM1" t="s">
        <v>254</v>
      </c>
      <c r="HN1" t="s">
        <v>252</v>
      </c>
      <c r="HO1" t="s">
        <v>255</v>
      </c>
      <c r="HP1" t="s">
        <v>211</v>
      </c>
      <c r="HQ1" t="s">
        <v>212</v>
      </c>
    </row>
    <row r="2" spans="1:225" x14ac:dyDescent="0.25">
      <c r="A2" s="23" t="str">
        <f>County</f>
        <v>Fresno</v>
      </c>
      <c r="B2" s="13" t="e">
        <f>Numecodet6</f>
        <v>#REF!</v>
      </c>
      <c r="C2" s="10" t="e">
        <f>Numealtt6</f>
        <v>#REF!</v>
      </c>
      <c r="D2" s="11" t="e">
        <f>t6yobgsal</f>
        <v>#REF!</v>
      </c>
      <c r="E2" s="11" t="e">
        <f>t6yobgserv</f>
        <v>#REF!</v>
      </c>
      <c r="F2" s="11" t="e">
        <f>t6yobgprof</f>
        <v>#REF!</v>
      </c>
      <c r="G2" s="11" t="e">
        <f>t6yobgcbo</f>
        <v>#REF!</v>
      </c>
      <c r="H2" s="11" t="e">
        <f>t6yobgequip</f>
        <v>#REF!</v>
      </c>
      <c r="I2" s="11" t="e">
        <f>t6yobgadmin</f>
        <v>#REF!</v>
      </c>
      <c r="J2" s="11" t="e">
        <f>t6yobgothr1</f>
        <v>#REF!</v>
      </c>
      <c r="K2" s="11" t="e">
        <f>t6yobgothr2</f>
        <v>#REF!</v>
      </c>
      <c r="L2" s="11" t="e">
        <f>t6yobgothr3</f>
        <v>#REF!</v>
      </c>
      <c r="M2" s="11" t="e">
        <f>t6yobgtot</f>
        <v>#REF!</v>
      </c>
      <c r="N2" s="11" t="e">
        <f>t6jjcpasal</f>
        <v>#REF!</v>
      </c>
      <c r="O2" s="11" t="e">
        <f>t6jjcpaserv</f>
        <v>#REF!</v>
      </c>
      <c r="P2" s="11" t="e">
        <f>t6jjcpaprof</f>
        <v>#REF!</v>
      </c>
      <c r="Q2" s="11" t="e">
        <f>t6jjcpacbo</f>
        <v>#REF!</v>
      </c>
      <c r="R2" s="11" t="e">
        <f>t6jjcpaequip</f>
        <v>#REF!</v>
      </c>
      <c r="S2" s="11" t="e">
        <f>t6jjcpaadmin</f>
        <v>#REF!</v>
      </c>
      <c r="T2" s="11" t="e">
        <f>t6jjcpaothr1</f>
        <v>#REF!</v>
      </c>
      <c r="U2" s="11" t="e">
        <f>t6jjcpaothr2</f>
        <v>#REF!</v>
      </c>
      <c r="V2" s="11" t="e">
        <f>t6jjcpaothr3</f>
        <v>#REF!</v>
      </c>
      <c r="W2" s="11" t="e">
        <f>t6jjcpatot</f>
        <v>#REF!</v>
      </c>
      <c r="X2" s="11" t="e">
        <f>t6othersal</f>
        <v>#REF!</v>
      </c>
      <c r="Y2" s="11" t="e">
        <f>t6otherserv</f>
        <v>#REF!</v>
      </c>
      <c r="Z2" s="11" t="e">
        <f>t6otherprof</f>
        <v>#REF!</v>
      </c>
      <c r="AA2" s="11" t="e">
        <f>t6othercbo</f>
        <v>#REF!</v>
      </c>
      <c r="AB2" s="11" t="e">
        <f>t6otherequip</f>
        <v>#REF!</v>
      </c>
      <c r="AC2" s="11" t="e">
        <f>t6otheradmin</f>
        <v>#REF!</v>
      </c>
      <c r="AD2" s="11" t="e">
        <f>t6otherothr1</f>
        <v>#REF!</v>
      </c>
      <c r="AE2" s="11" t="e">
        <f>t6otherothr2</f>
        <v>#REF!</v>
      </c>
      <c r="AF2" s="11" t="e">
        <f>t6otherothr3</f>
        <v>#REF!</v>
      </c>
      <c r="AG2" s="11" t="e">
        <f>t6othertot</f>
        <v>#REF!</v>
      </c>
      <c r="AH2" s="9" t="e">
        <f>t6casecount</f>
        <v>#REF!</v>
      </c>
      <c r="AI2" s="12" t="e">
        <f>t6yobgpercap</f>
        <v>#REF!</v>
      </c>
      <c r="AJ2" s="12" t="e">
        <f>t6totpercap</f>
        <v>#REF!</v>
      </c>
      <c r="AK2" s="9" t="e">
        <f>t6youth1</f>
        <v>#REF!</v>
      </c>
      <c r="AL2" s="9" t="e">
        <f>t6youth2</f>
        <v>#REF!</v>
      </c>
      <c r="AM2" s="9" t="e">
        <f>t6youth3</f>
        <v>#REF!</v>
      </c>
      <c r="AN2" s="9" t="e">
        <f>t6youth4</f>
        <v>#REF!</v>
      </c>
      <c r="AO2" s="9" t="e">
        <f>t6youth5</f>
        <v>#REF!</v>
      </c>
      <c r="AP2" s="9" t="e">
        <f>t6youth6</f>
        <v>#REF!</v>
      </c>
      <c r="AQ2" s="13" t="e">
        <f>Numecodet7</f>
        <v>#REF!</v>
      </c>
      <c r="AR2" s="10" t="e">
        <f>Numealtt7</f>
        <v>#REF!</v>
      </c>
      <c r="AS2" s="11" t="e">
        <f>t7yobgsal</f>
        <v>#REF!</v>
      </c>
      <c r="AT2" s="11" t="e">
        <f>t7yobgserv</f>
        <v>#REF!</v>
      </c>
      <c r="AU2" s="11" t="e">
        <f>t7yobgprof</f>
        <v>#REF!</v>
      </c>
      <c r="AV2" s="11" t="e">
        <f>t7yobgcbo</f>
        <v>#REF!</v>
      </c>
      <c r="AW2" s="11" t="e">
        <f>t7yobgequip</f>
        <v>#REF!</v>
      </c>
      <c r="AX2" s="11" t="e">
        <f>t7yobgadmin</f>
        <v>#REF!</v>
      </c>
      <c r="AY2" s="11" t="e">
        <f>t7yobgothr1</f>
        <v>#REF!</v>
      </c>
      <c r="AZ2" s="11" t="e">
        <f>t7yobgothr2</f>
        <v>#REF!</v>
      </c>
      <c r="BA2" s="11" t="e">
        <f>t7yobgothr3</f>
        <v>#REF!</v>
      </c>
      <c r="BB2" s="11" t="e">
        <f>t7yobgtot</f>
        <v>#REF!</v>
      </c>
      <c r="BC2" s="11" t="e">
        <f>t7jjcpasal</f>
        <v>#REF!</v>
      </c>
      <c r="BD2" s="11" t="e">
        <f>t7jjcpaserv</f>
        <v>#REF!</v>
      </c>
      <c r="BE2" s="11" t="e">
        <f>t7jjcpaprof</f>
        <v>#REF!</v>
      </c>
      <c r="BF2" s="11" t="e">
        <f>t7jjcpacbo</f>
        <v>#REF!</v>
      </c>
      <c r="BG2" s="11" t="e">
        <f>t7jjcpaequip</f>
        <v>#REF!</v>
      </c>
      <c r="BH2" s="11" t="e">
        <f>t7jjcpaadmin</f>
        <v>#REF!</v>
      </c>
      <c r="BI2" s="11" t="e">
        <f>t7jjcpaothr1</f>
        <v>#REF!</v>
      </c>
      <c r="BJ2" s="11" t="e">
        <f>t7jjcpaothr2</f>
        <v>#REF!</v>
      </c>
      <c r="BK2" s="11" t="e">
        <f>t7jjcpaothr3</f>
        <v>#REF!</v>
      </c>
      <c r="BL2" s="11" t="e">
        <f>t7jjcpatot</f>
        <v>#REF!</v>
      </c>
      <c r="BM2" s="11" t="e">
        <f>t7othersal</f>
        <v>#REF!</v>
      </c>
      <c r="BN2" s="11" t="e">
        <f>t7otherserv</f>
        <v>#REF!</v>
      </c>
      <c r="BO2" s="11" t="e">
        <f>t7otherprof</f>
        <v>#REF!</v>
      </c>
      <c r="BP2" s="11" t="e">
        <f>t7othercbo</f>
        <v>#REF!</v>
      </c>
      <c r="BQ2" s="11" t="e">
        <f>t7otherequip</f>
        <v>#REF!</v>
      </c>
      <c r="BR2" s="11" t="e">
        <f>t7otheradmin</f>
        <v>#REF!</v>
      </c>
      <c r="BS2" s="11" t="e">
        <f>t7otherothr1</f>
        <v>#REF!</v>
      </c>
      <c r="BT2" s="11" t="e">
        <f>t7otherothr2</f>
        <v>#REF!</v>
      </c>
      <c r="BU2" s="11" t="e">
        <f>t7otherothr3</f>
        <v>#REF!</v>
      </c>
      <c r="BV2" s="11" t="e">
        <f>t7othertot</f>
        <v>#REF!</v>
      </c>
      <c r="BW2" s="9" t="e">
        <f>t7casecount</f>
        <v>#REF!</v>
      </c>
      <c r="BX2" s="12" t="e">
        <f>t7yobgpercap</f>
        <v>#REF!</v>
      </c>
      <c r="BY2" s="12" t="e">
        <f>t7totpercap</f>
        <v>#REF!</v>
      </c>
      <c r="BZ2" s="9" t="e">
        <f>t7youth1</f>
        <v>#REF!</v>
      </c>
      <c r="CA2" s="9" t="e">
        <f>t7youth2</f>
        <v>#REF!</v>
      </c>
      <c r="CB2" s="9" t="e">
        <f>t7youth3</f>
        <v>#REF!</v>
      </c>
      <c r="CC2" s="9" t="e">
        <f>t7youth4</f>
        <v>#REF!</v>
      </c>
      <c r="CD2" s="9" t="e">
        <f>t7youth5</f>
        <v>#REF!</v>
      </c>
      <c r="CE2" s="9" t="e">
        <f>t7youth6</f>
        <v>#REF!</v>
      </c>
      <c r="CF2" s="13" t="e">
        <f>Numecodet8</f>
        <v>#REF!</v>
      </c>
      <c r="CG2" s="10" t="e">
        <f>Numealtt8</f>
        <v>#REF!</v>
      </c>
      <c r="CH2" s="11" t="e">
        <f>t8yobgsal</f>
        <v>#REF!</v>
      </c>
      <c r="CI2" s="11" t="e">
        <f>t8yobgserv</f>
        <v>#REF!</v>
      </c>
      <c r="CJ2" s="11" t="e">
        <f>t8yobgprof</f>
        <v>#REF!</v>
      </c>
      <c r="CK2" s="11" t="e">
        <f>t8yobgcbo</f>
        <v>#REF!</v>
      </c>
      <c r="CL2" s="11" t="e">
        <f>t8yobgequip</f>
        <v>#REF!</v>
      </c>
      <c r="CM2" s="11" t="e">
        <f>t8yobgadmin</f>
        <v>#REF!</v>
      </c>
      <c r="CN2" s="11" t="e">
        <f>t8yobgothr1</f>
        <v>#REF!</v>
      </c>
      <c r="CO2" s="11" t="e">
        <f>t8yobgothr2</f>
        <v>#REF!</v>
      </c>
      <c r="CP2" s="11" t="e">
        <f>t8yobgothr3</f>
        <v>#REF!</v>
      </c>
      <c r="CQ2" s="11" t="e">
        <f>t8yobgtot</f>
        <v>#REF!</v>
      </c>
      <c r="CR2" s="11" t="e">
        <f>t8jjcpasal</f>
        <v>#REF!</v>
      </c>
      <c r="CS2" s="11" t="e">
        <f>t8jjcpaserv</f>
        <v>#REF!</v>
      </c>
      <c r="CT2" s="11" t="e">
        <f>t8jjcpaprof</f>
        <v>#REF!</v>
      </c>
      <c r="CU2" s="11" t="e">
        <f>t8jjcpacbo</f>
        <v>#REF!</v>
      </c>
      <c r="CV2" s="11" t="e">
        <f>t8jjcpaequip</f>
        <v>#REF!</v>
      </c>
      <c r="CW2" s="11" t="e">
        <f>t8jjcpaadmin</f>
        <v>#REF!</v>
      </c>
      <c r="CX2" s="11" t="e">
        <f>t8jjcpaothr1</f>
        <v>#REF!</v>
      </c>
      <c r="CY2" s="11" t="e">
        <f>t8jjcpaothr2</f>
        <v>#REF!</v>
      </c>
      <c r="CZ2" s="11" t="e">
        <f>t8jjcpaothr3</f>
        <v>#REF!</v>
      </c>
      <c r="DA2" s="11" t="e">
        <f>t8jjcpatot</f>
        <v>#REF!</v>
      </c>
      <c r="DB2" s="11" t="e">
        <f>t8othersal</f>
        <v>#REF!</v>
      </c>
      <c r="DC2" s="11" t="e">
        <f>t8otherserv</f>
        <v>#REF!</v>
      </c>
      <c r="DD2" s="11" t="e">
        <f>t8otherprof</f>
        <v>#REF!</v>
      </c>
      <c r="DE2" s="11" t="e">
        <f>t8othercbo</f>
        <v>#REF!</v>
      </c>
      <c r="DF2" s="11" t="e">
        <f>t8otherequip</f>
        <v>#REF!</v>
      </c>
      <c r="DG2" s="11" t="e">
        <f>t8otheradmin</f>
        <v>#REF!</v>
      </c>
      <c r="DH2" s="11" t="e">
        <f>t8otherothr1</f>
        <v>#REF!</v>
      </c>
      <c r="DI2" s="11" t="e">
        <f>t8otherothr2</f>
        <v>#REF!</v>
      </c>
      <c r="DJ2" s="11" t="e">
        <f>t8otherothr3</f>
        <v>#REF!</v>
      </c>
      <c r="DK2" s="11" t="e">
        <f>t8othertot</f>
        <v>#REF!</v>
      </c>
      <c r="DL2" s="9" t="e">
        <f>t8casecount</f>
        <v>#REF!</v>
      </c>
      <c r="DM2" s="12" t="e">
        <f>t8yobgpercap</f>
        <v>#REF!</v>
      </c>
      <c r="DN2" s="12" t="e">
        <f>t8totpercap</f>
        <v>#REF!</v>
      </c>
      <c r="DO2" s="9" t="e">
        <f>t8youth1</f>
        <v>#REF!</v>
      </c>
      <c r="DP2" s="9" t="e">
        <f>t8youth2</f>
        <v>#REF!</v>
      </c>
      <c r="DQ2" s="9" t="e">
        <f>t8youth3</f>
        <v>#REF!</v>
      </c>
      <c r="DR2" s="9" t="e">
        <f>t8youth4</f>
        <v>#REF!</v>
      </c>
      <c r="DS2" s="9" t="e">
        <f>t8youth5</f>
        <v>#REF!</v>
      </c>
      <c r="DT2" s="9" t="e">
        <f>t8youth6</f>
        <v>#REF!</v>
      </c>
      <c r="DU2" s="13" t="e">
        <f>Numecodet9</f>
        <v>#REF!</v>
      </c>
      <c r="DV2" s="10" t="e">
        <f>Numealtt9</f>
        <v>#REF!</v>
      </c>
      <c r="DW2" s="11" t="e">
        <f>t9yobgsal</f>
        <v>#REF!</v>
      </c>
      <c r="DX2" s="11" t="e">
        <f>t9yobgserv</f>
        <v>#REF!</v>
      </c>
      <c r="DY2" s="11" t="e">
        <f>t9yobgprof</f>
        <v>#REF!</v>
      </c>
      <c r="DZ2" s="11" t="e">
        <f>t9yobgcbo</f>
        <v>#REF!</v>
      </c>
      <c r="EA2" s="11" t="e">
        <f>t9yobgequip</f>
        <v>#REF!</v>
      </c>
      <c r="EB2" s="11" t="e">
        <f>t9yobgadmin</f>
        <v>#REF!</v>
      </c>
      <c r="EC2" s="11" t="e">
        <f>t9yobgothr1</f>
        <v>#REF!</v>
      </c>
      <c r="ED2" s="11" t="e">
        <f>t9yobgothr2</f>
        <v>#REF!</v>
      </c>
      <c r="EE2" s="11" t="e">
        <f>t9yobgothr3</f>
        <v>#REF!</v>
      </c>
      <c r="EF2" s="11" t="e">
        <f>t9yobgtot</f>
        <v>#REF!</v>
      </c>
      <c r="EG2" s="11" t="e">
        <f>t9jjcpasal</f>
        <v>#REF!</v>
      </c>
      <c r="EH2" s="11" t="e">
        <f>t9jjcpaserv</f>
        <v>#REF!</v>
      </c>
      <c r="EI2" s="11" t="e">
        <f>t9jjcpaprof</f>
        <v>#REF!</v>
      </c>
      <c r="EJ2" s="11" t="e">
        <f>t9jjcpacbo</f>
        <v>#REF!</v>
      </c>
      <c r="EK2" s="11" t="e">
        <f>t9jjcpaequip</f>
        <v>#REF!</v>
      </c>
      <c r="EL2" s="11" t="e">
        <f>t9jjcpaadmin</f>
        <v>#REF!</v>
      </c>
      <c r="EM2" s="11" t="e">
        <f>t9jjcpaothr1</f>
        <v>#REF!</v>
      </c>
      <c r="EN2" s="11" t="e">
        <f>t9jjcpaothr2</f>
        <v>#REF!</v>
      </c>
      <c r="EO2" s="11" t="e">
        <f>t9jjcpaothr3</f>
        <v>#REF!</v>
      </c>
      <c r="EP2" s="11" t="e">
        <f>t9jjcpatot</f>
        <v>#REF!</v>
      </c>
      <c r="EQ2" s="11" t="e">
        <f>t9othersal</f>
        <v>#REF!</v>
      </c>
      <c r="ER2" s="11" t="e">
        <f>t9otherserv</f>
        <v>#REF!</v>
      </c>
      <c r="ES2" s="11" t="e">
        <f>t9otherprof</f>
        <v>#REF!</v>
      </c>
      <c r="ET2" s="11" t="e">
        <f>t9othercbo</f>
        <v>#REF!</v>
      </c>
      <c r="EU2" s="11" t="e">
        <f>t9otherequip</f>
        <v>#REF!</v>
      </c>
      <c r="EV2" s="11" t="e">
        <f>t9otheradmin</f>
        <v>#REF!</v>
      </c>
      <c r="EW2" s="11" t="e">
        <f>t9otherothr1</f>
        <v>#REF!</v>
      </c>
      <c r="EX2" s="11" t="e">
        <f>t9otherothr2</f>
        <v>#REF!</v>
      </c>
      <c r="EY2" s="11" t="e">
        <f>t9otherothr3</f>
        <v>#REF!</v>
      </c>
      <c r="EZ2" s="11" t="e">
        <f>t9othertot</f>
        <v>#REF!</v>
      </c>
      <c r="FA2" s="9" t="e">
        <f>t9casecount</f>
        <v>#REF!</v>
      </c>
      <c r="FB2" s="12" t="e">
        <f>t9yobgpercap</f>
        <v>#REF!</v>
      </c>
      <c r="FC2" s="12" t="e">
        <f>t9totpercap</f>
        <v>#REF!</v>
      </c>
      <c r="FD2" s="9" t="e">
        <f>t9youth1</f>
        <v>#REF!</v>
      </c>
      <c r="FE2" s="9" t="e">
        <f>t9youth2</f>
        <v>#REF!</v>
      </c>
      <c r="FF2" s="9" t="e">
        <f>t9youth3</f>
        <v>#REF!</v>
      </c>
      <c r="FG2" s="9" t="e">
        <f>t9youth4</f>
        <v>#REF!</v>
      </c>
      <c r="FH2" s="9" t="e">
        <f>t9youth5</f>
        <v>#REF!</v>
      </c>
      <c r="FI2" s="9" t="e">
        <f>t9youth6</f>
        <v>#REF!</v>
      </c>
      <c r="FJ2" s="13" t="e">
        <f>Numecodet10</f>
        <v>#REF!</v>
      </c>
      <c r="FK2" s="10" t="e">
        <f>Numealtt10</f>
        <v>#REF!</v>
      </c>
      <c r="FL2" s="11" t="e">
        <f>t10yobgsal</f>
        <v>#REF!</v>
      </c>
      <c r="FM2" s="11" t="e">
        <f>t10yobgserv</f>
        <v>#REF!</v>
      </c>
      <c r="FN2" s="11" t="e">
        <f>t10yobgprof</f>
        <v>#REF!</v>
      </c>
      <c r="FO2" s="11" t="e">
        <f>t10yobgcbo</f>
        <v>#REF!</v>
      </c>
      <c r="FP2" s="11" t="e">
        <f>t10yobgequip</f>
        <v>#REF!</v>
      </c>
      <c r="FQ2" s="11" t="e">
        <f>t10yobgadmin</f>
        <v>#REF!</v>
      </c>
      <c r="FR2" s="11" t="e">
        <f>t10yobgothr1</f>
        <v>#REF!</v>
      </c>
      <c r="FS2" s="11" t="e">
        <f>t10yobgothr2</f>
        <v>#REF!</v>
      </c>
      <c r="FT2" s="11" t="e">
        <f>t10yobgothr3</f>
        <v>#REF!</v>
      </c>
      <c r="FU2" s="11" t="e">
        <f>t10yobgtot</f>
        <v>#REF!</v>
      </c>
      <c r="FV2" s="11" t="e">
        <f>t10jjcpasal</f>
        <v>#REF!</v>
      </c>
      <c r="FW2" s="11" t="e">
        <f>t10jjcpaserv</f>
        <v>#REF!</v>
      </c>
      <c r="FX2" s="11" t="e">
        <f>t10jjcpaprof</f>
        <v>#REF!</v>
      </c>
      <c r="FY2" s="11" t="e">
        <f>t10jjcpacbo</f>
        <v>#REF!</v>
      </c>
      <c r="FZ2" s="11" t="e">
        <f>t10jjcpaequip</f>
        <v>#REF!</v>
      </c>
      <c r="GA2" s="11" t="e">
        <f>t10jjcpaadmin</f>
        <v>#REF!</v>
      </c>
      <c r="GB2" s="11" t="e">
        <f>t10jjcpaothr1</f>
        <v>#REF!</v>
      </c>
      <c r="GC2" s="11" t="e">
        <f>t10jjcpaothr2</f>
        <v>#REF!</v>
      </c>
      <c r="GD2" s="11" t="e">
        <f>t10jjcpaothr3</f>
        <v>#REF!</v>
      </c>
      <c r="GE2" s="11" t="e">
        <f>t10jjcpatot</f>
        <v>#REF!</v>
      </c>
      <c r="GF2" s="11" t="e">
        <f>t10othersal</f>
        <v>#REF!</v>
      </c>
      <c r="GG2" s="11" t="e">
        <f>t10otherserv</f>
        <v>#REF!</v>
      </c>
      <c r="GH2" s="11" t="e">
        <f>t10otherprof</f>
        <v>#REF!</v>
      </c>
      <c r="GI2" s="11" t="e">
        <f>t10othercbo</f>
        <v>#REF!</v>
      </c>
      <c r="GJ2" s="11" t="e">
        <f>t10otherequip</f>
        <v>#REF!</v>
      </c>
      <c r="GK2" s="11" t="e">
        <f>t10otheradmin</f>
        <v>#REF!</v>
      </c>
      <c r="GL2" s="11" t="e">
        <f>t10otherothr1</f>
        <v>#REF!</v>
      </c>
      <c r="GM2" s="11" t="e">
        <f>t10otherothr2</f>
        <v>#REF!</v>
      </c>
      <c r="GN2" s="11" t="e">
        <f>t10otherothr3</f>
        <v>#REF!</v>
      </c>
      <c r="GO2" s="11" t="e">
        <f>t10othertot</f>
        <v>#REF!</v>
      </c>
      <c r="GP2" s="9" t="e">
        <f>t10casecount</f>
        <v>#REF!</v>
      </c>
      <c r="GQ2" s="12" t="e">
        <f>t10yobgpercap</f>
        <v>#REF!</v>
      </c>
      <c r="GR2" s="12" t="e">
        <f>t10totpercap</f>
        <v>#REF!</v>
      </c>
      <c r="GS2" s="9" t="e">
        <f>t10youth1</f>
        <v>#REF!</v>
      </c>
      <c r="GT2" s="9" t="e">
        <f>t10youth2</f>
        <v>#REF!</v>
      </c>
      <c r="GU2" s="9" t="e">
        <f>t10youth3</f>
        <v>#REF!</v>
      </c>
      <c r="GV2" s="9" t="e">
        <f>t10youth4</f>
        <v>#REF!</v>
      </c>
      <c r="GW2" s="9" t="e">
        <f>t10youth5</f>
        <v>#REF!</v>
      </c>
      <c r="GX2" s="9" t="e">
        <f>t10youth6</f>
        <v>#REF!</v>
      </c>
      <c r="GY2" s="9">
        <f>asi</f>
        <v>0</v>
      </c>
      <c r="GZ2" s="9">
        <f>bot</f>
        <v>0</v>
      </c>
      <c r="HA2" s="9">
        <f>COMPAS</f>
        <v>0</v>
      </c>
      <c r="HB2" s="9">
        <f>JAIS</f>
        <v>0</v>
      </c>
      <c r="HC2" s="9">
        <f>LSIR</f>
        <v>0</v>
      </c>
      <c r="HD2" s="9">
        <f>MAYSI2</f>
        <v>0</v>
      </c>
      <c r="HE2" s="9">
        <f>MAYSI</f>
        <v>0</v>
      </c>
      <c r="HF2" s="9">
        <f>NIC</f>
        <v>0</v>
      </c>
      <c r="HG2" s="9">
        <f>PACT</f>
        <v>0</v>
      </c>
      <c r="HH2" s="9">
        <f>RRC</f>
        <v>0</v>
      </c>
      <c r="HI2" s="9">
        <f>YLSCMI</f>
        <v>0</v>
      </c>
      <c r="HJ2" s="9">
        <f>othrassessmentname1</f>
        <v>0</v>
      </c>
      <c r="HK2" s="9">
        <f>othrassess1</f>
        <v>0</v>
      </c>
      <c r="HL2" s="9">
        <f>othrassessmentname2</f>
        <v>0</v>
      </c>
      <c r="HM2" s="9">
        <f>othrassess2</f>
        <v>0</v>
      </c>
      <c r="HN2" s="9">
        <f>othrassessmentname3</f>
        <v>0</v>
      </c>
      <c r="HO2" s="9">
        <f>othrassess3</f>
        <v>0</v>
      </c>
      <c r="HP2" s="9">
        <f>othrassessmentname4</f>
        <v>0</v>
      </c>
      <c r="HQ2" s="9">
        <f>othrassess4</f>
        <v>0</v>
      </c>
    </row>
  </sheetData>
  <sheetProtection password="CB13" sheet="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HB2"/>
  <sheetViews>
    <sheetView workbookViewId="0">
      <selection activeCell="J22" sqref="J22"/>
    </sheetView>
  </sheetViews>
  <sheetFormatPr defaultRowHeight="13.2" x14ac:dyDescent="0.25"/>
  <sheetData>
    <row r="1" spans="1:210" x14ac:dyDescent="0.25">
      <c r="A1" t="s">
        <v>539</v>
      </c>
      <c r="B1" t="s">
        <v>261</v>
      </c>
      <c r="C1" t="s">
        <v>260</v>
      </c>
      <c r="D1" s="1" t="s">
        <v>256</v>
      </c>
      <c r="E1" s="1" t="s">
        <v>257</v>
      </c>
      <c r="F1" s="1" t="s">
        <v>258</v>
      </c>
      <c r="G1" s="1" t="s">
        <v>259</v>
      </c>
      <c r="H1" s="1" t="s">
        <v>263</v>
      </c>
      <c r="I1" s="1" t="s">
        <v>262</v>
      </c>
      <c r="J1" t="s">
        <v>585</v>
      </c>
      <c r="K1" t="s">
        <v>586</v>
      </c>
      <c r="L1" t="s">
        <v>301</v>
      </c>
      <c r="M1" t="s">
        <v>302</v>
      </c>
      <c r="N1" t="s">
        <v>574</v>
      </c>
      <c r="O1" t="s">
        <v>575</v>
      </c>
      <c r="P1" t="s">
        <v>576</v>
      </c>
      <c r="Q1" t="s">
        <v>577</v>
      </c>
      <c r="R1" t="s">
        <v>215</v>
      </c>
      <c r="S1" t="s">
        <v>286</v>
      </c>
      <c r="T1" t="s">
        <v>216</v>
      </c>
      <c r="U1" t="s">
        <v>159</v>
      </c>
      <c r="V1" t="s">
        <v>160</v>
      </c>
      <c r="W1" t="s">
        <v>161</v>
      </c>
      <c r="X1" t="s">
        <v>587</v>
      </c>
      <c r="Y1" t="s">
        <v>588</v>
      </c>
      <c r="Z1" t="s">
        <v>303</v>
      </c>
      <c r="AA1" t="s">
        <v>304</v>
      </c>
      <c r="AB1" t="s">
        <v>619</v>
      </c>
      <c r="AC1" t="s">
        <v>620</v>
      </c>
      <c r="AD1" t="s">
        <v>621</v>
      </c>
      <c r="AE1" t="s">
        <v>661</v>
      </c>
      <c r="AF1" t="s">
        <v>267</v>
      </c>
      <c r="AG1" t="s">
        <v>287</v>
      </c>
      <c r="AH1" t="s">
        <v>268</v>
      </c>
      <c r="AI1" t="s">
        <v>162</v>
      </c>
      <c r="AJ1" t="s">
        <v>163</v>
      </c>
      <c r="AK1" t="s">
        <v>164</v>
      </c>
      <c r="AL1" t="s">
        <v>626</v>
      </c>
      <c r="AM1" t="s">
        <v>627</v>
      </c>
      <c r="AN1" t="s">
        <v>305</v>
      </c>
      <c r="AO1" t="s">
        <v>306</v>
      </c>
      <c r="AP1" t="s">
        <v>658</v>
      </c>
      <c r="AQ1" t="s">
        <v>659</v>
      </c>
      <c r="AR1" t="s">
        <v>660</v>
      </c>
      <c r="AS1" t="s">
        <v>662</v>
      </c>
      <c r="AT1" t="s">
        <v>269</v>
      </c>
      <c r="AU1" t="s">
        <v>288</v>
      </c>
      <c r="AV1" t="s">
        <v>270</v>
      </c>
      <c r="AW1" t="s">
        <v>165</v>
      </c>
      <c r="AX1" t="s">
        <v>166</v>
      </c>
      <c r="AY1" t="s">
        <v>167</v>
      </c>
      <c r="AZ1" t="s">
        <v>667</v>
      </c>
      <c r="BA1" t="s">
        <v>668</v>
      </c>
      <c r="BB1" t="s">
        <v>307</v>
      </c>
      <c r="BC1" t="s">
        <v>308</v>
      </c>
      <c r="BD1" t="s">
        <v>699</v>
      </c>
      <c r="BE1" t="s">
        <v>700</v>
      </c>
      <c r="BF1" t="s">
        <v>701</v>
      </c>
      <c r="BG1" t="s">
        <v>702</v>
      </c>
      <c r="BH1" t="s">
        <v>271</v>
      </c>
      <c r="BI1" t="s">
        <v>289</v>
      </c>
      <c r="BJ1" t="s">
        <v>272</v>
      </c>
      <c r="BK1" t="s">
        <v>168</v>
      </c>
      <c r="BL1" t="s">
        <v>169</v>
      </c>
      <c r="BM1" t="s">
        <v>170</v>
      </c>
      <c r="BN1" t="s">
        <v>707</v>
      </c>
      <c r="BO1" t="s">
        <v>708</v>
      </c>
      <c r="BP1" t="s">
        <v>309</v>
      </c>
      <c r="BQ1" t="s">
        <v>310</v>
      </c>
      <c r="BR1" t="s">
        <v>739</v>
      </c>
      <c r="BS1" t="s">
        <v>740</v>
      </c>
      <c r="BT1" t="s">
        <v>741</v>
      </c>
      <c r="BU1" t="s">
        <v>742</v>
      </c>
      <c r="BV1" t="s">
        <v>273</v>
      </c>
      <c r="BW1" t="s">
        <v>290</v>
      </c>
      <c r="BX1" t="s">
        <v>274</v>
      </c>
      <c r="BY1" t="s">
        <v>171</v>
      </c>
      <c r="BZ1" t="s">
        <v>172</v>
      </c>
      <c r="CA1" t="s">
        <v>173</v>
      </c>
      <c r="CB1" t="s">
        <v>747</v>
      </c>
      <c r="CC1" t="s">
        <v>748</v>
      </c>
      <c r="CD1" t="s">
        <v>311</v>
      </c>
      <c r="CE1" t="s">
        <v>312</v>
      </c>
      <c r="CF1" t="s">
        <v>28</v>
      </c>
      <c r="CG1" t="s">
        <v>29</v>
      </c>
      <c r="CH1" t="s">
        <v>30</v>
      </c>
      <c r="CI1" t="s">
        <v>31</v>
      </c>
      <c r="CJ1" t="s">
        <v>275</v>
      </c>
      <c r="CK1" t="s">
        <v>291</v>
      </c>
      <c r="CL1" t="s">
        <v>276</v>
      </c>
      <c r="CM1" t="s">
        <v>174</v>
      </c>
      <c r="CN1" t="s">
        <v>175</v>
      </c>
      <c r="CO1" t="s">
        <v>176</v>
      </c>
      <c r="CP1" t="s">
        <v>36</v>
      </c>
      <c r="CQ1" t="s">
        <v>37</v>
      </c>
      <c r="CR1" t="s">
        <v>313</v>
      </c>
      <c r="CS1" t="s">
        <v>314</v>
      </c>
      <c r="CT1" t="s">
        <v>68</v>
      </c>
      <c r="CU1" t="s">
        <v>69</v>
      </c>
      <c r="CV1" t="s">
        <v>70</v>
      </c>
      <c r="CW1" t="s">
        <v>71</v>
      </c>
      <c r="CX1" t="s">
        <v>277</v>
      </c>
      <c r="CY1" t="s">
        <v>292</v>
      </c>
      <c r="CZ1" t="s">
        <v>278</v>
      </c>
      <c r="DA1" t="s">
        <v>177</v>
      </c>
      <c r="DB1" t="s">
        <v>178</v>
      </c>
      <c r="DC1" t="s">
        <v>179</v>
      </c>
      <c r="DD1" t="s">
        <v>76</v>
      </c>
      <c r="DE1" t="s">
        <v>77</v>
      </c>
      <c r="DF1" t="s">
        <v>315</v>
      </c>
      <c r="DG1" t="s">
        <v>316</v>
      </c>
      <c r="DH1" t="s">
        <v>108</v>
      </c>
      <c r="DI1" t="s">
        <v>109</v>
      </c>
      <c r="DJ1" t="s">
        <v>110</v>
      </c>
      <c r="DK1" t="s">
        <v>152</v>
      </c>
      <c r="DL1" t="s">
        <v>279</v>
      </c>
      <c r="DM1" t="s">
        <v>293</v>
      </c>
      <c r="DN1" t="s">
        <v>280</v>
      </c>
      <c r="DO1" t="s">
        <v>180</v>
      </c>
      <c r="DP1" t="s">
        <v>181</v>
      </c>
      <c r="DQ1" t="s">
        <v>182</v>
      </c>
      <c r="DR1" t="s">
        <v>115</v>
      </c>
      <c r="DS1" t="s">
        <v>117</v>
      </c>
      <c r="DT1" t="s">
        <v>317</v>
      </c>
      <c r="DU1" t="s">
        <v>318</v>
      </c>
      <c r="DV1" t="s">
        <v>148</v>
      </c>
      <c r="DW1" t="s">
        <v>149</v>
      </c>
      <c r="DX1" t="s">
        <v>150</v>
      </c>
      <c r="DY1" t="s">
        <v>151</v>
      </c>
      <c r="DZ1" t="s">
        <v>281</v>
      </c>
      <c r="EA1" t="s">
        <v>294</v>
      </c>
      <c r="EB1" t="s">
        <v>282</v>
      </c>
      <c r="EC1" t="s">
        <v>183</v>
      </c>
      <c r="ED1" t="s">
        <v>184</v>
      </c>
      <c r="EE1" t="s">
        <v>185</v>
      </c>
      <c r="EF1" t="s">
        <v>158</v>
      </c>
      <c r="EG1" t="s">
        <v>189</v>
      </c>
      <c r="EH1" t="s">
        <v>319</v>
      </c>
      <c r="EI1" t="s">
        <v>320</v>
      </c>
      <c r="EJ1" t="s">
        <v>358</v>
      </c>
      <c r="EK1" t="s">
        <v>157</v>
      </c>
      <c r="EL1" t="s">
        <v>359</v>
      </c>
      <c r="EM1" t="s">
        <v>360</v>
      </c>
      <c r="EN1" t="s">
        <v>283</v>
      </c>
      <c r="EO1" t="s">
        <v>295</v>
      </c>
      <c r="EP1" t="s">
        <v>284</v>
      </c>
      <c r="EQ1" t="s">
        <v>186</v>
      </c>
      <c r="ER1" t="s">
        <v>187</v>
      </c>
      <c r="ES1" t="s">
        <v>188</v>
      </c>
      <c r="ET1" s="41" t="s">
        <v>802</v>
      </c>
      <c r="EU1" s="41" t="s">
        <v>806</v>
      </c>
      <c r="EV1" s="41" t="s">
        <v>803</v>
      </c>
      <c r="EW1" t="s">
        <v>751</v>
      </c>
      <c r="EX1" t="s">
        <v>300</v>
      </c>
      <c r="EY1" t="s">
        <v>298</v>
      </c>
      <c r="EZ1" t="s">
        <v>297</v>
      </c>
      <c r="FA1" t="s">
        <v>296</v>
      </c>
      <c r="FB1" s="41" t="s">
        <v>804</v>
      </c>
      <c r="FC1" t="s">
        <v>299</v>
      </c>
      <c r="FD1" t="s">
        <v>250</v>
      </c>
      <c r="FE1" t="s">
        <v>792</v>
      </c>
      <c r="FF1" t="s">
        <v>752</v>
      </c>
      <c r="FG1" t="s">
        <v>753</v>
      </c>
      <c r="FH1" t="s">
        <v>760</v>
      </c>
      <c r="FI1" t="s">
        <v>761</v>
      </c>
      <c r="FJ1" t="s">
        <v>793</v>
      </c>
      <c r="FK1" t="s">
        <v>754</v>
      </c>
      <c r="FL1" t="s">
        <v>755</v>
      </c>
      <c r="FM1" t="s">
        <v>762</v>
      </c>
      <c r="FN1" t="s">
        <v>763</v>
      </c>
      <c r="FO1" t="s">
        <v>794</v>
      </c>
      <c r="FP1" t="s">
        <v>756</v>
      </c>
      <c r="FQ1" t="s">
        <v>757</v>
      </c>
      <c r="FR1" t="s">
        <v>764</v>
      </c>
      <c r="FS1" t="s">
        <v>765</v>
      </c>
      <c r="FT1" t="s">
        <v>795</v>
      </c>
      <c r="FU1" t="s">
        <v>758</v>
      </c>
      <c r="FV1" t="s">
        <v>759</v>
      </c>
      <c r="FW1" t="s">
        <v>766</v>
      </c>
      <c r="FX1" t="s">
        <v>767</v>
      </c>
      <c r="FY1" t="s">
        <v>796</v>
      </c>
      <c r="FZ1" t="s">
        <v>768</v>
      </c>
      <c r="GA1" t="s">
        <v>769</v>
      </c>
      <c r="GB1" t="s">
        <v>770</v>
      </c>
      <c r="GC1" t="s">
        <v>771</v>
      </c>
      <c r="GD1" t="s">
        <v>797</v>
      </c>
      <c r="GE1" t="s">
        <v>772</v>
      </c>
      <c r="GF1" t="s">
        <v>773</v>
      </c>
      <c r="GG1" t="s">
        <v>774</v>
      </c>
      <c r="GH1" t="s">
        <v>775</v>
      </c>
      <c r="GI1" t="s">
        <v>798</v>
      </c>
      <c r="GJ1" t="s">
        <v>776</v>
      </c>
      <c r="GK1" t="s">
        <v>777</v>
      </c>
      <c r="GL1" t="s">
        <v>778</v>
      </c>
      <c r="GM1" t="s">
        <v>779</v>
      </c>
      <c r="GN1" t="s">
        <v>799</v>
      </c>
      <c r="GO1" t="s">
        <v>780</v>
      </c>
      <c r="GP1" t="s">
        <v>781</v>
      </c>
      <c r="GQ1" t="s">
        <v>782</v>
      </c>
      <c r="GR1" t="s">
        <v>783</v>
      </c>
      <c r="GS1" t="s">
        <v>800</v>
      </c>
      <c r="GT1" t="s">
        <v>784</v>
      </c>
      <c r="GU1" t="s">
        <v>785</v>
      </c>
      <c r="GV1" t="s">
        <v>786</v>
      </c>
      <c r="GW1" t="s">
        <v>787</v>
      </c>
      <c r="GX1" t="s">
        <v>801</v>
      </c>
      <c r="GY1" t="s">
        <v>788</v>
      </c>
      <c r="GZ1" t="s">
        <v>789</v>
      </c>
      <c r="HA1" t="s">
        <v>790</v>
      </c>
      <c r="HB1" t="s">
        <v>791</v>
      </c>
    </row>
    <row r="2" spans="1:210" x14ac:dyDescent="0.25">
      <c r="A2" s="23" t="str">
        <f>County</f>
        <v>Fresno</v>
      </c>
      <c r="B2" s="9">
        <f>coord1</f>
        <v>0</v>
      </c>
      <c r="C2" s="9">
        <f>coord2</f>
        <v>0</v>
      </c>
      <c r="D2" s="31">
        <f>strategy</f>
        <v>0</v>
      </c>
      <c r="E2" s="31">
        <f>stratnar</f>
        <v>0</v>
      </c>
      <c r="F2" s="31">
        <f>stratdf</f>
        <v>0</v>
      </c>
      <c r="G2" s="31">
        <f>stratplan</f>
        <v>0</v>
      </c>
      <c r="H2" s="31">
        <f>coordnar</f>
        <v>0</v>
      </c>
      <c r="I2" s="1">
        <f>regional</f>
        <v>0</v>
      </c>
      <c r="J2" s="10" t="e">
        <f>Numecodet1</f>
        <v>#REF!</v>
      </c>
      <c r="K2" s="10" t="e">
        <f>Numealtt1</f>
        <v>#REF!</v>
      </c>
      <c r="L2" s="10" t="e">
        <f>JJCPAt1</f>
        <v>#REF!</v>
      </c>
      <c r="M2" s="10" t="e">
        <f>Othert1</f>
        <v>#REF!</v>
      </c>
      <c r="N2" s="9" t="e">
        <f>t1casecount</f>
        <v>#REF!</v>
      </c>
      <c r="O2" s="12" t="e">
        <f>t1yobgpercap</f>
        <v>#REF!</v>
      </c>
      <c r="P2" s="12" t="e">
        <f>t1totpercap</f>
        <v>#REF!</v>
      </c>
      <c r="Q2" t="e">
        <f>t1nar</f>
        <v>#REF!</v>
      </c>
      <c r="R2" t="e">
        <f>t1goal</f>
        <v>#REF!</v>
      </c>
      <c r="S2" t="e">
        <f>t1barrier</f>
        <v>#REF!</v>
      </c>
      <c r="T2" t="e">
        <f>t1funds</f>
        <v>#REF!</v>
      </c>
      <c r="U2">
        <f>t1other1</f>
        <v>0</v>
      </c>
      <c r="V2">
        <f>t1other2</f>
        <v>0</v>
      </c>
      <c r="W2">
        <f>t1other3</f>
        <v>0</v>
      </c>
      <c r="X2" s="13" t="e">
        <f>Numecodet2</f>
        <v>#REF!</v>
      </c>
      <c r="Y2" s="10" t="e">
        <f>Numealtt2</f>
        <v>#REF!</v>
      </c>
      <c r="Z2" s="10" t="e">
        <f>JJCPAt2</f>
        <v>#REF!</v>
      </c>
      <c r="AA2" s="10" t="e">
        <f>Othert2</f>
        <v>#REF!</v>
      </c>
      <c r="AB2" s="9" t="e">
        <f>t2casecount</f>
        <v>#REF!</v>
      </c>
      <c r="AC2" s="12" t="e">
        <f>t2yobgpercap</f>
        <v>#REF!</v>
      </c>
      <c r="AD2" s="12" t="e">
        <f>t2totpercap</f>
        <v>#REF!</v>
      </c>
      <c r="AE2" t="e">
        <f>t2nar</f>
        <v>#REF!</v>
      </c>
      <c r="AF2" t="e">
        <f>t2goal</f>
        <v>#REF!</v>
      </c>
      <c r="AG2" t="e">
        <f>t2barrier</f>
        <v>#REF!</v>
      </c>
      <c r="AH2" t="e">
        <f>t2funds</f>
        <v>#REF!</v>
      </c>
      <c r="AI2" t="e">
        <f>t2other1</f>
        <v>#REF!</v>
      </c>
      <c r="AJ2" t="e">
        <f>t2other2</f>
        <v>#REF!</v>
      </c>
      <c r="AK2" t="e">
        <f>t2other3</f>
        <v>#REF!</v>
      </c>
      <c r="AL2" s="13" t="e">
        <f>Numecodet3</f>
        <v>#REF!</v>
      </c>
      <c r="AM2" s="10" t="e">
        <f>Numealtt3</f>
        <v>#REF!</v>
      </c>
      <c r="AN2" s="10" t="e">
        <f>JJCPAt3</f>
        <v>#REF!</v>
      </c>
      <c r="AO2" s="10" t="e">
        <f>Othert3</f>
        <v>#REF!</v>
      </c>
      <c r="AP2" s="9" t="e">
        <f>t3casecount</f>
        <v>#REF!</v>
      </c>
      <c r="AQ2" s="12" t="e">
        <f>t3yobgpercap</f>
        <v>#REF!</v>
      </c>
      <c r="AR2" s="12" t="e">
        <f>t3totpercap</f>
        <v>#REF!</v>
      </c>
      <c r="AS2" t="e">
        <f>t3nar</f>
        <v>#REF!</v>
      </c>
      <c r="AT2" t="e">
        <f>t3goal</f>
        <v>#REF!</v>
      </c>
      <c r="AU2" t="e">
        <f>t3barrier</f>
        <v>#REF!</v>
      </c>
      <c r="AV2" t="e">
        <f>t3funds</f>
        <v>#REF!</v>
      </c>
      <c r="AW2" t="e">
        <f>t3other1</f>
        <v>#REF!</v>
      </c>
      <c r="AX2" t="e">
        <f>t3other2</f>
        <v>#REF!</v>
      </c>
      <c r="AY2" t="e">
        <f>t3other3</f>
        <v>#REF!</v>
      </c>
      <c r="AZ2" s="13" t="e">
        <f>Numecodet4</f>
        <v>#REF!</v>
      </c>
      <c r="BA2" s="10" t="e">
        <f>Numealtt4</f>
        <v>#REF!</v>
      </c>
      <c r="BB2" s="10" t="e">
        <f>JJCPAt4</f>
        <v>#REF!</v>
      </c>
      <c r="BC2" s="10" t="e">
        <f>Othert4</f>
        <v>#REF!</v>
      </c>
      <c r="BD2" s="9" t="e">
        <f>t4casecount</f>
        <v>#REF!</v>
      </c>
      <c r="BE2" s="12" t="e">
        <f>t4yobgpercap</f>
        <v>#REF!</v>
      </c>
      <c r="BF2" s="12" t="e">
        <f>t4totpercap</f>
        <v>#REF!</v>
      </c>
      <c r="BG2" t="e">
        <f>t4nar</f>
        <v>#REF!</v>
      </c>
      <c r="BH2" t="e">
        <f>t4goal</f>
        <v>#REF!</v>
      </c>
      <c r="BI2" t="e">
        <f>t4barrier</f>
        <v>#REF!</v>
      </c>
      <c r="BJ2" t="e">
        <f>t4funds</f>
        <v>#REF!</v>
      </c>
      <c r="BK2" t="e">
        <f>t4other1</f>
        <v>#REF!</v>
      </c>
      <c r="BL2" t="e">
        <f>t4other2</f>
        <v>#REF!</v>
      </c>
      <c r="BM2" t="e">
        <f>t4other3</f>
        <v>#REF!</v>
      </c>
      <c r="BN2" s="13" t="e">
        <f>Numecodet5</f>
        <v>#REF!</v>
      </c>
      <c r="BO2" s="10" t="e">
        <f>Numealtt5</f>
        <v>#REF!</v>
      </c>
      <c r="BP2" s="10" t="e">
        <f>JJCPAt5</f>
        <v>#REF!</v>
      </c>
      <c r="BQ2" s="10" t="e">
        <f>Othert5</f>
        <v>#REF!</v>
      </c>
      <c r="BR2" s="9" t="e">
        <f>t5casecount</f>
        <v>#REF!</v>
      </c>
      <c r="BS2" s="12" t="e">
        <f>t5yobgpercap</f>
        <v>#REF!</v>
      </c>
      <c r="BT2" s="12" t="e">
        <f>t5totpercap</f>
        <v>#REF!</v>
      </c>
      <c r="BU2" t="e">
        <f>t5nar</f>
        <v>#REF!</v>
      </c>
      <c r="BV2" t="e">
        <f>t5goal</f>
        <v>#REF!</v>
      </c>
      <c r="BW2" t="e">
        <f>t5barrier</f>
        <v>#REF!</v>
      </c>
      <c r="BX2" t="e">
        <f>t5funds</f>
        <v>#REF!</v>
      </c>
      <c r="BY2" t="e">
        <f>t5other1</f>
        <v>#REF!</v>
      </c>
      <c r="BZ2" t="e">
        <f>t5other2</f>
        <v>#REF!</v>
      </c>
      <c r="CA2" t="e">
        <f>t5other3</f>
        <v>#REF!</v>
      </c>
      <c r="CB2" s="13" t="e">
        <f>Numecodet6</f>
        <v>#REF!</v>
      </c>
      <c r="CC2" s="10" t="e">
        <f>Numealtt6</f>
        <v>#REF!</v>
      </c>
      <c r="CD2" s="10" t="e">
        <f>JJCPAt6</f>
        <v>#REF!</v>
      </c>
      <c r="CE2" s="10" t="e">
        <f>Othert6</f>
        <v>#REF!</v>
      </c>
      <c r="CF2" s="9" t="e">
        <f>t6casecount</f>
        <v>#REF!</v>
      </c>
      <c r="CG2" s="12" t="e">
        <f>t6yobgpercap</f>
        <v>#REF!</v>
      </c>
      <c r="CH2" s="12" t="e">
        <f>t6totpercap</f>
        <v>#REF!</v>
      </c>
      <c r="CI2" t="e">
        <f>t6nar</f>
        <v>#REF!</v>
      </c>
      <c r="CJ2" t="e">
        <f>t6goal</f>
        <v>#REF!</v>
      </c>
      <c r="CK2" t="e">
        <f>t6barrier</f>
        <v>#REF!</v>
      </c>
      <c r="CL2" t="e">
        <f>t6funds</f>
        <v>#REF!</v>
      </c>
      <c r="CM2" t="e">
        <f>t6other1</f>
        <v>#REF!</v>
      </c>
      <c r="CN2" t="e">
        <f>t6other2</f>
        <v>#REF!</v>
      </c>
      <c r="CO2" t="e">
        <f>t6other3</f>
        <v>#REF!</v>
      </c>
      <c r="CP2" s="13" t="e">
        <f>Numecodet7</f>
        <v>#REF!</v>
      </c>
      <c r="CQ2" s="10" t="e">
        <f>Numealtt7</f>
        <v>#REF!</v>
      </c>
      <c r="CR2" s="10" t="e">
        <f>JJCPAt7</f>
        <v>#REF!</v>
      </c>
      <c r="CS2" s="10" t="e">
        <f>Othert7</f>
        <v>#REF!</v>
      </c>
      <c r="CT2" s="9" t="e">
        <f>t7casecount</f>
        <v>#REF!</v>
      </c>
      <c r="CU2" s="12" t="e">
        <f>t7yobgpercap</f>
        <v>#REF!</v>
      </c>
      <c r="CV2" s="12" t="e">
        <f>t7totpercap</f>
        <v>#REF!</v>
      </c>
      <c r="CW2" t="e">
        <f>t7nar</f>
        <v>#REF!</v>
      </c>
      <c r="CX2" t="e">
        <f>t7goal</f>
        <v>#REF!</v>
      </c>
      <c r="CY2" t="e">
        <f>t7barrier</f>
        <v>#REF!</v>
      </c>
      <c r="CZ2" t="e">
        <f>t7funds</f>
        <v>#REF!</v>
      </c>
      <c r="DA2" t="e">
        <f>t7other1</f>
        <v>#REF!</v>
      </c>
      <c r="DB2" t="e">
        <f>t7other2</f>
        <v>#REF!</v>
      </c>
      <c r="DC2" t="e">
        <f>t7other3</f>
        <v>#REF!</v>
      </c>
      <c r="DD2" s="13" t="e">
        <f>Numecodet8</f>
        <v>#REF!</v>
      </c>
      <c r="DE2" s="10" t="e">
        <f>Numealtt8</f>
        <v>#REF!</v>
      </c>
      <c r="DF2" s="10" t="e">
        <f>JJCPAt8</f>
        <v>#REF!</v>
      </c>
      <c r="DG2" s="10" t="e">
        <f>Othert8</f>
        <v>#REF!</v>
      </c>
      <c r="DH2" s="9" t="e">
        <f>t8casecount</f>
        <v>#REF!</v>
      </c>
      <c r="DI2" s="12" t="e">
        <f>t8yobgpercap</f>
        <v>#REF!</v>
      </c>
      <c r="DJ2" s="12" t="e">
        <f>t8totpercap</f>
        <v>#REF!</v>
      </c>
      <c r="DK2" t="e">
        <f>t8nar</f>
        <v>#REF!</v>
      </c>
      <c r="DL2" t="e">
        <f>t8goal</f>
        <v>#REF!</v>
      </c>
      <c r="DM2" t="e">
        <f>t8barrier</f>
        <v>#REF!</v>
      </c>
      <c r="DN2" t="e">
        <f>t8funds</f>
        <v>#REF!</v>
      </c>
      <c r="DO2" t="e">
        <f>t8other1</f>
        <v>#REF!</v>
      </c>
      <c r="DP2" t="e">
        <f>t8other2</f>
        <v>#REF!</v>
      </c>
      <c r="DQ2" t="e">
        <f>t8other3</f>
        <v>#REF!</v>
      </c>
      <c r="DR2" s="13" t="e">
        <f>Numecodet9</f>
        <v>#REF!</v>
      </c>
      <c r="DS2" s="10" t="e">
        <f>Numealtt9</f>
        <v>#REF!</v>
      </c>
      <c r="DT2" s="10" t="e">
        <f>JJCPAt9</f>
        <v>#REF!</v>
      </c>
      <c r="DU2" s="10" t="e">
        <f>Othert9</f>
        <v>#REF!</v>
      </c>
      <c r="DV2" s="9" t="e">
        <f>t9casecount</f>
        <v>#REF!</v>
      </c>
      <c r="DW2" s="12" t="e">
        <f>t9yobgpercap</f>
        <v>#REF!</v>
      </c>
      <c r="DX2" s="12" t="e">
        <f>t9totpercap</f>
        <v>#REF!</v>
      </c>
      <c r="DY2" t="e">
        <f>t9nar</f>
        <v>#REF!</v>
      </c>
      <c r="DZ2" t="e">
        <f>t9goal</f>
        <v>#REF!</v>
      </c>
      <c r="EA2" t="e">
        <f>t9barrier</f>
        <v>#REF!</v>
      </c>
      <c r="EB2" t="e">
        <f>t9funds</f>
        <v>#REF!</v>
      </c>
      <c r="EC2" t="e">
        <f>t9other1</f>
        <v>#REF!</v>
      </c>
      <c r="ED2" t="e">
        <f>t9other2</f>
        <v>#REF!</v>
      </c>
      <c r="EE2" t="e">
        <f>t9other3</f>
        <v>#REF!</v>
      </c>
      <c r="EF2" s="13" t="e">
        <f>Numecodet10</f>
        <v>#REF!</v>
      </c>
      <c r="EG2" s="10" t="e">
        <f>Numealtt10</f>
        <v>#REF!</v>
      </c>
      <c r="EH2" s="10" t="e">
        <f>JJCPAt10</f>
        <v>#REF!</v>
      </c>
      <c r="EI2" s="10" t="e">
        <f>Othert10</f>
        <v>#REF!</v>
      </c>
      <c r="EJ2" s="9" t="e">
        <f>t10casecount</f>
        <v>#REF!</v>
      </c>
      <c r="EK2" s="12" t="e">
        <f>t10yobgpercap</f>
        <v>#REF!</v>
      </c>
      <c r="EL2" s="12" t="e">
        <f>t10totpercap</f>
        <v>#REF!</v>
      </c>
      <c r="EM2" t="e">
        <f>t10nar</f>
        <v>#REF!</v>
      </c>
      <c r="EN2" t="e">
        <f>t10goal</f>
        <v>#REF!</v>
      </c>
      <c r="EO2" t="e">
        <f>t10barrier</f>
        <v>#REF!</v>
      </c>
      <c r="EP2" t="e">
        <f>t10funds</f>
        <v>#REF!</v>
      </c>
      <c r="EQ2" t="e">
        <f>t10other1</f>
        <v>#REF!</v>
      </c>
      <c r="ER2" t="e">
        <f>t10other2</f>
        <v>#REF!</v>
      </c>
      <c r="ES2" t="e">
        <f>t10other3</f>
        <v>#REF!</v>
      </c>
      <c r="ET2" s="40" t="e">
        <f>totyobgexp</f>
        <v>#REF!</v>
      </c>
      <c r="EU2" s="40" t="e">
        <f>fy1314all</f>
        <v>#REF!</v>
      </c>
      <c r="EV2" s="40" t="e">
        <f>fy1213all</f>
        <v>#REF!</v>
      </c>
      <c r="EW2" s="40" t="e">
        <f>fy1112all</f>
        <v>#REF!</v>
      </c>
      <c r="EX2" s="40" t="e">
        <f>fy1011all</f>
        <v>#REF!</v>
      </c>
      <c r="EY2" s="40" t="e">
        <f>fy0910all</f>
        <v>#REF!</v>
      </c>
      <c r="EZ2" s="40" t="e">
        <f>fy0809all</f>
        <v>#REF!</v>
      </c>
      <c r="FA2" s="40" t="e">
        <f>fy0708all</f>
        <v>#REF!</v>
      </c>
      <c r="FB2" s="40" t="e">
        <f>totforall</f>
        <v>#REF!</v>
      </c>
      <c r="FC2" s="40" t="e">
        <f>discrep</f>
        <v>#REF!</v>
      </c>
      <c r="FD2" t="e">
        <f>discexpl</f>
        <v>#REF!</v>
      </c>
      <c r="FE2" t="e">
        <f>Numecodet1</f>
        <v>#REF!</v>
      </c>
      <c r="FF2" t="e">
        <f>JJCPAt1</f>
        <v>#REF!</v>
      </c>
      <c r="FG2" s="11">
        <f>t1jjcpatot</f>
        <v>4898008</v>
      </c>
      <c r="FH2" t="e">
        <f>Othert1</f>
        <v>#REF!</v>
      </c>
      <c r="FI2" s="11">
        <f>t1othertot</f>
        <v>0</v>
      </c>
      <c r="FJ2" t="e">
        <f>Numecodet2</f>
        <v>#REF!</v>
      </c>
      <c r="FK2" t="e">
        <f>JJCPAt2</f>
        <v>#REF!</v>
      </c>
      <c r="FL2" s="11" t="e">
        <f>t2jjcpatot</f>
        <v>#REF!</v>
      </c>
      <c r="FM2" t="e">
        <f>Othert2</f>
        <v>#REF!</v>
      </c>
      <c r="FN2" s="11" t="e">
        <f>t2othertot</f>
        <v>#REF!</v>
      </c>
      <c r="FO2" t="e">
        <f>Numecodet3</f>
        <v>#REF!</v>
      </c>
      <c r="FP2" t="e">
        <f>JJCPAt3</f>
        <v>#REF!</v>
      </c>
      <c r="FQ2" s="11" t="e">
        <f>t3jjcpatot</f>
        <v>#REF!</v>
      </c>
      <c r="FR2" t="e">
        <f>Othert3</f>
        <v>#REF!</v>
      </c>
      <c r="FS2" s="11" t="e">
        <f>t3othertot</f>
        <v>#REF!</v>
      </c>
      <c r="FT2" t="e">
        <f>Numecodet4</f>
        <v>#REF!</v>
      </c>
      <c r="FU2" t="e">
        <f>JJCPAt4</f>
        <v>#REF!</v>
      </c>
      <c r="FV2" s="11" t="e">
        <f>t4jjcpatot</f>
        <v>#REF!</v>
      </c>
      <c r="FW2" t="e">
        <f>Othert4</f>
        <v>#REF!</v>
      </c>
      <c r="FX2" s="11" t="e">
        <f>t4othertot</f>
        <v>#REF!</v>
      </c>
      <c r="FY2" t="e">
        <f>Numecodet5</f>
        <v>#REF!</v>
      </c>
      <c r="FZ2" t="e">
        <f>JJCPAt5</f>
        <v>#REF!</v>
      </c>
      <c r="GA2" s="11" t="e">
        <f>t5jjcpatot</f>
        <v>#REF!</v>
      </c>
      <c r="GB2" t="e">
        <f>Othert5</f>
        <v>#REF!</v>
      </c>
      <c r="GC2" s="11" t="e">
        <f>t5othertot</f>
        <v>#REF!</v>
      </c>
      <c r="GD2" t="e">
        <f>Numecodet6</f>
        <v>#REF!</v>
      </c>
      <c r="GE2" t="e">
        <f>JJCPAt6</f>
        <v>#REF!</v>
      </c>
      <c r="GF2" s="11" t="e">
        <f>t6jjcpatot</f>
        <v>#REF!</v>
      </c>
      <c r="GG2" t="e">
        <f>Othert6</f>
        <v>#REF!</v>
      </c>
      <c r="GH2" s="11" t="e">
        <f>t6othertot</f>
        <v>#REF!</v>
      </c>
      <c r="GI2" t="e">
        <f>Numecodet7</f>
        <v>#REF!</v>
      </c>
      <c r="GJ2" t="e">
        <f>JJCPAt7</f>
        <v>#REF!</v>
      </c>
      <c r="GK2" s="11" t="e">
        <f>t7jjcpatot</f>
        <v>#REF!</v>
      </c>
      <c r="GL2" t="e">
        <f>Othert7</f>
        <v>#REF!</v>
      </c>
      <c r="GM2" s="11" t="e">
        <f>t7othertot</f>
        <v>#REF!</v>
      </c>
      <c r="GN2" t="e">
        <f>Numecodet8</f>
        <v>#REF!</v>
      </c>
      <c r="GO2" t="e">
        <f>JJCPAt8</f>
        <v>#REF!</v>
      </c>
      <c r="GP2" s="11" t="e">
        <f>t8jjcpatot</f>
        <v>#REF!</v>
      </c>
      <c r="GQ2" t="e">
        <f>Othert8</f>
        <v>#REF!</v>
      </c>
      <c r="GR2" s="11" t="e">
        <f>t8othertot</f>
        <v>#REF!</v>
      </c>
      <c r="GS2" t="e">
        <f>Numecodet9</f>
        <v>#REF!</v>
      </c>
      <c r="GT2" t="e">
        <f>JJCPAt9</f>
        <v>#REF!</v>
      </c>
      <c r="GU2" s="11" t="e">
        <f>t9jjcpatot</f>
        <v>#REF!</v>
      </c>
      <c r="GV2" t="e">
        <f>Othert9</f>
        <v>#REF!</v>
      </c>
      <c r="GW2" s="11" t="e">
        <f>t9othertot</f>
        <v>#REF!</v>
      </c>
      <c r="GX2" t="e">
        <f>Numcodet10</f>
        <v>#REF!</v>
      </c>
      <c r="GY2" t="e">
        <f>JJCPAt10</f>
        <v>#REF!</v>
      </c>
      <c r="GZ2" s="11" t="e">
        <f>t10jjcpatot</f>
        <v>#REF!</v>
      </c>
      <c r="HA2" t="e">
        <f>Othert10</f>
        <v>#REF!</v>
      </c>
      <c r="HB2" s="11" t="e">
        <f>t10othertot</f>
        <v>#REF!</v>
      </c>
    </row>
  </sheetData>
  <sheetProtection password="CB13"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68"/>
  <sheetViews>
    <sheetView showGridLines="0" zoomScaleNormal="100" workbookViewId="0">
      <pane ySplit="4" topLeftCell="A5" activePane="bottomLeft" state="frozen"/>
      <selection pane="bottomLeft" activeCell="I10" sqref="I10:J10"/>
    </sheetView>
  </sheetViews>
  <sheetFormatPr defaultRowHeight="13.2" x14ac:dyDescent="0.25"/>
  <cols>
    <col min="1" max="1" width="3.77734375" style="39" customWidth="1"/>
    <col min="2" max="4" width="9.21875" style="39"/>
    <col min="5" max="5" width="6.44140625" style="39" customWidth="1"/>
    <col min="6" max="6" width="6.21875" style="39" customWidth="1"/>
    <col min="7" max="14" width="5.77734375" style="39" customWidth="1"/>
    <col min="15" max="15" width="6.77734375" style="39" customWidth="1"/>
    <col min="16" max="24" width="8.77734375" style="39"/>
  </cols>
  <sheetData>
    <row r="1" spans="1:24" s="198" customFormat="1" ht="15.75" customHeight="1" x14ac:dyDescent="0.25">
      <c r="A1" s="318" t="s">
        <v>843</v>
      </c>
      <c r="B1" s="319"/>
      <c r="C1" s="319"/>
      <c r="D1" s="319"/>
      <c r="E1" s="319"/>
      <c r="F1" s="319"/>
      <c r="G1" s="319"/>
      <c r="H1" s="319"/>
      <c r="I1" s="319"/>
      <c r="J1" s="319"/>
      <c r="K1" s="316" t="str">
        <f>'CONTACT INFORMATION'!$A$24</f>
        <v>Fresno</v>
      </c>
      <c r="L1" s="316"/>
      <c r="M1" s="316"/>
      <c r="N1" s="316"/>
      <c r="O1" s="317"/>
      <c r="P1" s="210"/>
      <c r="Q1" s="210"/>
      <c r="R1" s="210"/>
      <c r="S1" s="210"/>
      <c r="T1" s="210"/>
      <c r="U1" s="210"/>
      <c r="V1" s="210"/>
      <c r="W1" s="210"/>
      <c r="X1" s="210"/>
    </row>
    <row r="2" spans="1:24" s="1" customFormat="1" ht="8.25" customHeight="1" x14ac:dyDescent="0.3">
      <c r="A2" s="147"/>
      <c r="B2" s="147"/>
      <c r="C2" s="147"/>
      <c r="D2" s="147"/>
      <c r="E2" s="147"/>
      <c r="F2" s="147"/>
      <c r="G2" s="147"/>
      <c r="H2" s="147"/>
      <c r="I2" s="147"/>
      <c r="J2" s="147"/>
      <c r="K2" s="148"/>
      <c r="L2" s="148"/>
      <c r="M2" s="148"/>
      <c r="N2" s="148"/>
      <c r="O2" s="148"/>
      <c r="P2" s="211"/>
      <c r="Q2" s="211"/>
      <c r="R2" s="211"/>
      <c r="S2" s="211"/>
      <c r="T2" s="211"/>
      <c r="U2" s="211"/>
      <c r="V2" s="211"/>
      <c r="W2" s="211"/>
      <c r="X2" s="211"/>
    </row>
    <row r="3" spans="1:24" s="1" customFormat="1" ht="15.75" customHeight="1" x14ac:dyDescent="0.25">
      <c r="A3" s="321" t="s">
        <v>844</v>
      </c>
      <c r="B3" s="322"/>
      <c r="C3" s="322"/>
      <c r="D3" s="322"/>
      <c r="E3" s="322"/>
      <c r="F3" s="322"/>
      <c r="G3" s="322"/>
      <c r="H3" s="322"/>
      <c r="I3" s="322"/>
      <c r="J3" s="322"/>
      <c r="K3" s="322"/>
      <c r="L3" s="322"/>
      <c r="M3" s="322"/>
      <c r="N3" s="322"/>
      <c r="O3" s="323"/>
      <c r="P3" s="211"/>
      <c r="Q3" s="211"/>
      <c r="R3" s="211"/>
      <c r="S3" s="211"/>
      <c r="T3" s="211"/>
      <c r="U3" s="211"/>
      <c r="V3" s="211"/>
      <c r="W3" s="211"/>
      <c r="X3" s="211"/>
    </row>
    <row r="4" spans="1:24" s="42" customFormat="1" ht="59.25" customHeight="1" x14ac:dyDescent="0.25">
      <c r="A4" s="325" t="s">
        <v>924</v>
      </c>
      <c r="B4" s="326"/>
      <c r="C4" s="326"/>
      <c r="D4" s="326"/>
      <c r="E4" s="326"/>
      <c r="F4" s="326"/>
      <c r="G4" s="326"/>
      <c r="H4" s="326"/>
      <c r="I4" s="326"/>
      <c r="J4" s="326"/>
      <c r="K4" s="326"/>
      <c r="L4" s="326"/>
      <c r="M4" s="326"/>
      <c r="N4" s="326"/>
      <c r="O4" s="327"/>
      <c r="P4" s="212"/>
      <c r="Q4" s="212"/>
      <c r="R4" s="212"/>
      <c r="S4" s="212"/>
      <c r="T4" s="212"/>
      <c r="U4" s="212"/>
      <c r="V4" s="212"/>
      <c r="W4" s="212"/>
      <c r="X4" s="212"/>
    </row>
    <row r="5" spans="1:24" s="44" customFormat="1" ht="12.75" customHeight="1" x14ac:dyDescent="0.25">
      <c r="A5" s="89"/>
      <c r="B5" s="71"/>
      <c r="C5" s="71"/>
      <c r="D5" s="71"/>
      <c r="E5" s="71"/>
      <c r="F5" s="71"/>
      <c r="G5" s="71"/>
      <c r="H5" s="71"/>
      <c r="I5" s="71"/>
      <c r="J5" s="71"/>
      <c r="K5" s="71"/>
      <c r="L5" s="71"/>
      <c r="M5" s="71"/>
      <c r="N5" s="71"/>
      <c r="O5" s="90"/>
      <c r="P5" s="213"/>
      <c r="Q5" s="213"/>
      <c r="R5" s="213"/>
      <c r="S5" s="213"/>
      <c r="T5" s="213"/>
      <c r="U5" s="213"/>
      <c r="V5" s="213"/>
      <c r="W5" s="213"/>
      <c r="X5" s="213"/>
    </row>
    <row r="6" spans="1:24" s="44" customFormat="1" ht="12.75" customHeight="1" x14ac:dyDescent="0.25">
      <c r="A6" s="89"/>
      <c r="B6" s="71"/>
      <c r="C6" s="320"/>
      <c r="D6" s="320"/>
      <c r="E6" s="320"/>
      <c r="F6" s="320"/>
      <c r="G6" s="320"/>
      <c r="H6" s="320"/>
      <c r="I6" s="320"/>
      <c r="J6" s="320"/>
      <c r="K6" s="320"/>
      <c r="L6" s="320"/>
      <c r="M6" s="71"/>
      <c r="N6" s="71"/>
      <c r="O6" s="90"/>
      <c r="P6" s="213"/>
      <c r="Q6" s="213"/>
      <c r="R6" s="213"/>
      <c r="S6" s="213"/>
      <c r="T6" s="213"/>
      <c r="U6" s="213"/>
      <c r="V6" s="213"/>
      <c r="W6" s="213"/>
      <c r="X6" s="213"/>
    </row>
    <row r="7" spans="1:24" s="14" customFormat="1" ht="17.25" customHeight="1" x14ac:dyDescent="0.25">
      <c r="A7" s="93"/>
      <c r="B7" s="94"/>
      <c r="C7" s="94"/>
      <c r="D7" s="324" t="s">
        <v>813</v>
      </c>
      <c r="E7" s="324"/>
      <c r="F7" s="324"/>
      <c r="G7" s="324"/>
      <c r="H7" s="324"/>
      <c r="I7" s="324"/>
      <c r="J7" s="324"/>
      <c r="K7" s="324"/>
      <c r="L7" s="324"/>
      <c r="M7" s="207"/>
      <c r="N7" s="94"/>
      <c r="O7" s="95"/>
      <c r="P7" s="214"/>
      <c r="Q7" s="214"/>
      <c r="R7" s="214"/>
      <c r="S7" s="214"/>
      <c r="T7" s="214"/>
      <c r="U7" s="214"/>
      <c r="V7" s="214"/>
      <c r="W7" s="214"/>
      <c r="X7" s="214"/>
    </row>
    <row r="8" spans="1:24" s="41" customFormat="1" ht="14.4" x14ac:dyDescent="0.3">
      <c r="A8" s="96"/>
      <c r="B8" s="138"/>
      <c r="C8" s="136"/>
      <c r="D8" s="177"/>
      <c r="E8" s="297" t="s">
        <v>885</v>
      </c>
      <c r="F8" s="297"/>
      <c r="G8" s="297"/>
      <c r="H8" s="297"/>
      <c r="I8" s="311">
        <v>0</v>
      </c>
      <c r="J8" s="291"/>
      <c r="K8" s="137"/>
      <c r="L8" s="137"/>
      <c r="M8" s="137"/>
      <c r="N8" s="178"/>
      <c r="O8" s="179"/>
      <c r="P8" s="215"/>
      <c r="Q8" s="215"/>
      <c r="R8" s="215"/>
      <c r="S8" s="215"/>
      <c r="T8" s="215"/>
      <c r="U8" s="215"/>
      <c r="V8" s="215"/>
      <c r="W8" s="215"/>
      <c r="X8" s="215"/>
    </row>
    <row r="9" spans="1:24" s="41" customFormat="1" ht="14.4" x14ac:dyDescent="0.3">
      <c r="A9" s="96"/>
      <c r="B9" s="138"/>
      <c r="C9" s="136"/>
      <c r="D9" s="177"/>
      <c r="E9" s="312" t="s">
        <v>886</v>
      </c>
      <c r="F9" s="312"/>
      <c r="G9" s="312"/>
      <c r="H9" s="312"/>
      <c r="I9" s="288">
        <v>0</v>
      </c>
      <c r="J9" s="289"/>
      <c r="K9" s="137"/>
      <c r="L9" s="137"/>
      <c r="M9" s="137"/>
      <c r="N9" s="178"/>
      <c r="O9" s="179"/>
      <c r="P9" s="215"/>
      <c r="Q9" s="215"/>
      <c r="R9" s="215"/>
      <c r="S9" s="215"/>
      <c r="T9" s="215"/>
      <c r="U9" s="215"/>
      <c r="V9" s="215"/>
      <c r="W9" s="215"/>
      <c r="X9" s="215"/>
    </row>
    <row r="10" spans="1:24" s="41" customFormat="1" ht="14.4" x14ac:dyDescent="0.3">
      <c r="A10" s="96"/>
      <c r="B10" s="138"/>
      <c r="C10" s="136"/>
      <c r="D10" s="177"/>
      <c r="E10" s="297" t="s">
        <v>887</v>
      </c>
      <c r="F10" s="314"/>
      <c r="G10" s="314"/>
      <c r="H10" s="315"/>
      <c r="I10" s="290">
        <v>1856</v>
      </c>
      <c r="J10" s="291"/>
      <c r="K10" s="137"/>
      <c r="L10" s="137"/>
      <c r="M10" s="137"/>
      <c r="N10" s="178"/>
      <c r="O10" s="179"/>
      <c r="P10" s="215"/>
      <c r="Q10" s="215"/>
      <c r="R10" s="215"/>
      <c r="S10" s="215"/>
      <c r="T10" s="215"/>
      <c r="U10" s="215"/>
      <c r="V10" s="215"/>
      <c r="W10" s="215"/>
      <c r="X10" s="215"/>
    </row>
    <row r="11" spans="1:24" s="41" customFormat="1" ht="14.4" x14ac:dyDescent="0.3">
      <c r="A11" s="96"/>
      <c r="B11" s="138"/>
      <c r="C11" s="136"/>
      <c r="D11" s="177"/>
      <c r="E11" s="160"/>
      <c r="F11" s="160"/>
      <c r="G11" s="160"/>
      <c r="H11" s="160"/>
      <c r="I11" s="180"/>
      <c r="J11" s="180"/>
      <c r="K11" s="137"/>
      <c r="L11" s="137"/>
      <c r="M11" s="137"/>
      <c r="N11" s="178"/>
      <c r="O11" s="179"/>
      <c r="P11" s="215"/>
      <c r="Q11" s="215"/>
      <c r="R11" s="215"/>
      <c r="S11" s="215"/>
      <c r="T11" s="215"/>
      <c r="U11" s="215"/>
      <c r="V11" s="215"/>
      <c r="W11" s="215"/>
      <c r="X11" s="215"/>
    </row>
    <row r="12" spans="1:24" ht="13.8" x14ac:dyDescent="0.25">
      <c r="A12" s="91"/>
      <c r="B12" s="45"/>
      <c r="C12" s="45"/>
      <c r="D12" s="45"/>
      <c r="E12" s="137"/>
      <c r="F12" s="137"/>
      <c r="G12" s="137"/>
      <c r="H12" s="137"/>
      <c r="I12" s="97"/>
      <c r="J12" s="97"/>
      <c r="K12" s="97"/>
      <c r="L12" s="97"/>
      <c r="M12" s="97"/>
      <c r="N12" s="97"/>
      <c r="O12" s="98"/>
    </row>
    <row r="13" spans="1:24" s="42" customFormat="1" ht="17.25" customHeight="1" x14ac:dyDescent="0.25">
      <c r="A13" s="166"/>
      <c r="B13" s="99"/>
      <c r="C13" s="99"/>
      <c r="D13" s="313" t="s">
        <v>874</v>
      </c>
      <c r="E13" s="313"/>
      <c r="F13" s="313"/>
      <c r="G13" s="313"/>
      <c r="H13" s="313"/>
      <c r="I13" s="313"/>
      <c r="J13" s="313"/>
      <c r="K13" s="313"/>
      <c r="L13" s="313"/>
      <c r="M13" s="100"/>
      <c r="N13" s="100"/>
      <c r="O13" s="101"/>
      <c r="P13" s="212"/>
      <c r="Q13" s="212"/>
      <c r="R13" s="212"/>
      <c r="S13" s="212"/>
      <c r="T13" s="212"/>
      <c r="U13" s="212"/>
      <c r="V13" s="212"/>
      <c r="W13" s="212"/>
      <c r="X13" s="212"/>
    </row>
    <row r="14" spans="1:24" ht="13.8" x14ac:dyDescent="0.25">
      <c r="A14" s="91"/>
      <c r="B14" s="45"/>
      <c r="C14" s="128"/>
      <c r="D14" s="128"/>
      <c r="E14" s="297" t="s">
        <v>814</v>
      </c>
      <c r="F14" s="297"/>
      <c r="G14" s="297"/>
      <c r="H14" s="297"/>
      <c r="I14" s="290">
        <v>2343</v>
      </c>
      <c r="J14" s="291"/>
      <c r="K14" s="97"/>
      <c r="L14" s="97"/>
      <c r="M14" s="97"/>
      <c r="N14" s="97"/>
      <c r="O14" s="98"/>
    </row>
    <row r="15" spans="1:24" ht="13.8" x14ac:dyDescent="0.25">
      <c r="A15" s="91"/>
      <c r="B15" s="45"/>
      <c r="C15" s="128"/>
      <c r="D15" s="128"/>
      <c r="E15" s="296" t="s">
        <v>815</v>
      </c>
      <c r="F15" s="296"/>
      <c r="G15" s="296"/>
      <c r="H15" s="296"/>
      <c r="I15" s="288">
        <v>705</v>
      </c>
      <c r="J15" s="289"/>
      <c r="K15" s="97"/>
      <c r="L15" s="97"/>
      <c r="M15" s="97"/>
      <c r="N15" s="97"/>
      <c r="O15" s="98"/>
    </row>
    <row r="16" spans="1:24" ht="14.4" x14ac:dyDescent="0.3">
      <c r="A16" s="102"/>
      <c r="B16" s="45"/>
      <c r="C16" s="128"/>
      <c r="D16" s="128"/>
      <c r="E16" s="298" t="s">
        <v>827</v>
      </c>
      <c r="F16" s="298"/>
      <c r="G16" s="298"/>
      <c r="H16" s="298"/>
      <c r="I16" s="292">
        <f>SUM(I14:J15)</f>
        <v>3048</v>
      </c>
      <c r="J16" s="293"/>
      <c r="K16" s="97"/>
      <c r="L16" s="97"/>
      <c r="M16" s="97"/>
      <c r="N16" s="97"/>
      <c r="O16" s="98"/>
    </row>
    <row r="17" spans="1:24" x14ac:dyDescent="0.25">
      <c r="A17" s="91"/>
      <c r="B17" s="45"/>
      <c r="C17" s="45"/>
      <c r="D17" s="45"/>
      <c r="E17" s="97"/>
      <c r="F17" s="97"/>
      <c r="G17" s="97"/>
      <c r="H17" s="97"/>
      <c r="I17" s="97"/>
      <c r="J17" s="97"/>
      <c r="K17" s="97"/>
      <c r="L17" s="97"/>
      <c r="M17" s="97"/>
      <c r="N17" s="97"/>
      <c r="O17" s="98"/>
    </row>
    <row r="18" spans="1:24" x14ac:dyDescent="0.25">
      <c r="A18" s="91"/>
      <c r="B18" s="45"/>
      <c r="C18" s="45"/>
      <c r="D18" s="45"/>
      <c r="E18" s="97"/>
      <c r="F18" s="97"/>
      <c r="G18" s="97"/>
      <c r="H18" s="97"/>
      <c r="I18" s="97"/>
      <c r="J18" s="97"/>
      <c r="K18" s="97"/>
      <c r="L18" s="97"/>
      <c r="M18" s="97"/>
      <c r="N18" s="97"/>
      <c r="O18" s="98"/>
    </row>
    <row r="19" spans="1:24" s="42" customFormat="1" ht="17.25" customHeight="1" x14ac:dyDescent="0.25">
      <c r="A19" s="166"/>
      <c r="B19" s="99"/>
      <c r="C19" s="99"/>
      <c r="D19" s="204" t="s">
        <v>850</v>
      </c>
      <c r="E19" s="204"/>
      <c r="F19" s="204"/>
      <c r="G19" s="204"/>
      <c r="H19" s="204"/>
      <c r="I19" s="204"/>
      <c r="J19" s="204"/>
      <c r="K19" s="204"/>
      <c r="L19" s="100"/>
      <c r="M19" s="100"/>
      <c r="N19" s="100"/>
      <c r="O19" s="101"/>
      <c r="P19" s="212"/>
      <c r="Q19" s="212"/>
      <c r="R19" s="212"/>
      <c r="S19" s="212"/>
      <c r="T19" s="212"/>
      <c r="U19" s="212"/>
      <c r="V19" s="212"/>
      <c r="W19" s="212"/>
      <c r="X19" s="212"/>
    </row>
    <row r="20" spans="1:24" ht="13.8" x14ac:dyDescent="0.25">
      <c r="A20" s="102"/>
      <c r="B20" s="128"/>
      <c r="C20" s="128"/>
      <c r="D20" s="128"/>
      <c r="E20" s="297" t="s">
        <v>817</v>
      </c>
      <c r="F20" s="297"/>
      <c r="G20" s="297"/>
      <c r="H20" s="297"/>
      <c r="I20" s="290">
        <v>1929</v>
      </c>
      <c r="J20" s="291"/>
      <c r="K20" s="97"/>
      <c r="L20" s="97"/>
      <c r="M20" s="97"/>
      <c r="N20" s="97"/>
      <c r="O20" s="98"/>
    </row>
    <row r="21" spans="1:24" ht="13.8" x14ac:dyDescent="0.25">
      <c r="A21" s="102"/>
      <c r="B21" s="128"/>
      <c r="C21" s="128"/>
      <c r="D21" s="128"/>
      <c r="E21" s="296" t="s">
        <v>818</v>
      </c>
      <c r="F21" s="296"/>
      <c r="G21" s="296"/>
      <c r="H21" s="296"/>
      <c r="I21" s="309">
        <v>328</v>
      </c>
      <c r="J21" s="310"/>
      <c r="K21" s="97"/>
      <c r="L21" s="97"/>
      <c r="M21" s="97"/>
      <c r="N21" s="97"/>
      <c r="O21" s="98"/>
    </row>
    <row r="22" spans="1:24" ht="13.8" x14ac:dyDescent="0.25">
      <c r="A22" s="102"/>
      <c r="B22" s="128"/>
      <c r="C22" s="128"/>
      <c r="D22" s="128"/>
      <c r="E22" s="297" t="s">
        <v>819</v>
      </c>
      <c r="F22" s="297"/>
      <c r="G22" s="297"/>
      <c r="H22" s="297"/>
      <c r="I22" s="290">
        <v>646</v>
      </c>
      <c r="J22" s="291"/>
      <c r="K22" s="97"/>
      <c r="L22" s="97"/>
      <c r="M22" s="97"/>
      <c r="N22" s="97"/>
      <c r="O22" s="98"/>
    </row>
    <row r="23" spans="1:24" ht="13.8" x14ac:dyDescent="0.25">
      <c r="A23" s="102"/>
      <c r="B23" s="128"/>
      <c r="C23" s="128"/>
      <c r="D23" s="128"/>
      <c r="E23" s="296" t="s">
        <v>820</v>
      </c>
      <c r="F23" s="296"/>
      <c r="G23" s="296"/>
      <c r="H23" s="296"/>
      <c r="I23" s="288">
        <v>75</v>
      </c>
      <c r="J23" s="289"/>
      <c r="K23" s="97"/>
      <c r="L23" s="97"/>
      <c r="M23" s="97"/>
      <c r="N23" s="97"/>
      <c r="O23" s="98"/>
    </row>
    <row r="24" spans="1:24" ht="13.8" x14ac:dyDescent="0.25">
      <c r="A24" s="102"/>
      <c r="B24" s="128"/>
      <c r="C24" s="128"/>
      <c r="D24" s="128"/>
      <c r="E24" s="297" t="s">
        <v>821</v>
      </c>
      <c r="F24" s="297"/>
      <c r="G24" s="297"/>
      <c r="H24" s="297"/>
      <c r="I24" s="290">
        <v>0</v>
      </c>
      <c r="J24" s="291"/>
      <c r="K24" s="97"/>
      <c r="L24" s="97"/>
      <c r="M24" s="97"/>
      <c r="N24" s="97"/>
      <c r="O24" s="98"/>
    </row>
    <row r="25" spans="1:24" ht="13.8" x14ac:dyDescent="0.25">
      <c r="A25" s="102"/>
      <c r="B25" s="128"/>
      <c r="C25" s="128"/>
      <c r="D25" s="128"/>
      <c r="E25" s="296" t="s">
        <v>822</v>
      </c>
      <c r="F25" s="296"/>
      <c r="G25" s="296"/>
      <c r="H25" s="296"/>
      <c r="I25" s="288">
        <v>11</v>
      </c>
      <c r="J25" s="289"/>
      <c r="K25" s="97"/>
      <c r="L25" s="97"/>
      <c r="M25" s="97"/>
      <c r="N25" s="97"/>
      <c r="O25" s="98"/>
    </row>
    <row r="26" spans="1:24" ht="13.8" x14ac:dyDescent="0.25">
      <c r="A26" s="102"/>
      <c r="B26" s="128"/>
      <c r="C26" s="128"/>
      <c r="D26" s="128"/>
      <c r="E26" s="297" t="s">
        <v>823</v>
      </c>
      <c r="F26" s="297"/>
      <c r="G26" s="297"/>
      <c r="H26" s="297"/>
      <c r="I26" s="290">
        <v>59</v>
      </c>
      <c r="J26" s="291"/>
      <c r="K26" s="97"/>
      <c r="L26" s="97"/>
      <c r="M26" s="97"/>
      <c r="N26" s="97"/>
      <c r="O26" s="98"/>
    </row>
    <row r="27" spans="1:24" ht="14.4" x14ac:dyDescent="0.3">
      <c r="A27" s="102"/>
      <c r="B27" s="128"/>
      <c r="C27" s="128"/>
      <c r="D27" s="128"/>
      <c r="E27" s="298" t="s">
        <v>827</v>
      </c>
      <c r="F27" s="298"/>
      <c r="G27" s="298"/>
      <c r="H27" s="298"/>
      <c r="I27" s="292">
        <f>SUM(I20:J26)</f>
        <v>3048</v>
      </c>
      <c r="J27" s="293"/>
      <c r="K27" s="132"/>
      <c r="L27" s="132"/>
      <c r="M27" s="132"/>
      <c r="N27" s="132"/>
      <c r="O27" s="140"/>
    </row>
    <row r="28" spans="1:24" s="1" customFormat="1" ht="14.4" x14ac:dyDescent="0.3">
      <c r="A28" s="102"/>
      <c r="B28" s="139"/>
      <c r="C28" s="128"/>
      <c r="D28" s="128"/>
      <c r="E28" s="128"/>
      <c r="F28" s="141"/>
      <c r="G28" s="141"/>
      <c r="H28" s="141"/>
      <c r="I28" s="141"/>
      <c r="J28" s="141"/>
      <c r="K28" s="141"/>
      <c r="L28" s="141"/>
      <c r="M28" s="141"/>
      <c r="N28" s="141"/>
      <c r="O28" s="142"/>
      <c r="P28" s="211"/>
      <c r="Q28" s="211"/>
      <c r="R28" s="211"/>
      <c r="S28" s="211"/>
      <c r="T28" s="211"/>
      <c r="U28" s="211"/>
      <c r="V28" s="211"/>
      <c r="W28" s="211"/>
      <c r="X28" s="211"/>
    </row>
    <row r="29" spans="1:24" s="1" customFormat="1" ht="14.4" x14ac:dyDescent="0.3">
      <c r="A29" s="103"/>
      <c r="B29" s="143"/>
      <c r="C29" s="144"/>
      <c r="D29" s="144"/>
      <c r="E29" s="144"/>
      <c r="F29" s="145"/>
      <c r="G29" s="145"/>
      <c r="H29" s="145"/>
      <c r="I29" s="145"/>
      <c r="J29" s="145"/>
      <c r="K29" s="145"/>
      <c r="L29" s="145"/>
      <c r="M29" s="145"/>
      <c r="N29" s="145"/>
      <c r="O29" s="146"/>
      <c r="P29" s="211"/>
      <c r="Q29" s="211"/>
      <c r="R29" s="211"/>
      <c r="S29" s="211"/>
      <c r="T29" s="211"/>
      <c r="U29" s="211"/>
      <c r="V29" s="211"/>
      <c r="W29" s="211"/>
      <c r="X29" s="211"/>
    </row>
    <row r="30" spans="1:24" ht="14.7" customHeight="1" x14ac:dyDescent="0.25"/>
    <row r="31" spans="1:24" ht="14.1" customHeight="1" x14ac:dyDescent="0.25">
      <c r="A31" s="189" t="s">
        <v>888</v>
      </c>
    </row>
    <row r="32" spans="1:24" ht="14.1" customHeight="1" x14ac:dyDescent="0.25">
      <c r="A32" s="300"/>
      <c r="B32" s="301"/>
      <c r="C32" s="301"/>
      <c r="D32" s="301"/>
      <c r="E32" s="301"/>
      <c r="F32" s="301"/>
      <c r="G32" s="301"/>
      <c r="H32" s="301"/>
      <c r="I32" s="301"/>
      <c r="J32" s="301"/>
      <c r="K32" s="301"/>
      <c r="L32" s="301"/>
      <c r="M32" s="301"/>
      <c r="N32" s="301"/>
      <c r="O32" s="302"/>
    </row>
    <row r="33" spans="1:24" ht="14.1" customHeight="1" x14ac:dyDescent="0.25">
      <c r="A33" s="303"/>
      <c r="B33" s="304"/>
      <c r="C33" s="304"/>
      <c r="D33" s="304"/>
      <c r="E33" s="304"/>
      <c r="F33" s="304"/>
      <c r="G33" s="304"/>
      <c r="H33" s="304"/>
      <c r="I33" s="304"/>
      <c r="J33" s="304"/>
      <c r="K33" s="304"/>
      <c r="L33" s="304"/>
      <c r="M33" s="304"/>
      <c r="N33" s="304"/>
      <c r="O33" s="305"/>
    </row>
    <row r="34" spans="1:24" ht="14.1" customHeight="1" x14ac:dyDescent="0.25">
      <c r="A34" s="303"/>
      <c r="B34" s="304"/>
      <c r="C34" s="304"/>
      <c r="D34" s="304"/>
      <c r="E34" s="304"/>
      <c r="F34" s="304"/>
      <c r="G34" s="304"/>
      <c r="H34" s="304"/>
      <c r="I34" s="304"/>
      <c r="J34" s="304"/>
      <c r="K34" s="304"/>
      <c r="L34" s="304"/>
      <c r="M34" s="304"/>
      <c r="N34" s="304"/>
      <c r="O34" s="305"/>
    </row>
    <row r="35" spans="1:24" ht="14.1" customHeight="1" x14ac:dyDescent="0.25">
      <c r="A35" s="303"/>
      <c r="B35" s="304"/>
      <c r="C35" s="304"/>
      <c r="D35" s="304"/>
      <c r="E35" s="304"/>
      <c r="F35" s="304"/>
      <c r="G35" s="304"/>
      <c r="H35" s="304"/>
      <c r="I35" s="304"/>
      <c r="J35" s="304"/>
      <c r="K35" s="304"/>
      <c r="L35" s="304"/>
      <c r="M35" s="304"/>
      <c r="N35" s="304"/>
      <c r="O35" s="305"/>
    </row>
    <row r="36" spans="1:24" ht="14.1" customHeight="1" x14ac:dyDescent="0.25">
      <c r="A36" s="303"/>
      <c r="B36" s="304"/>
      <c r="C36" s="304"/>
      <c r="D36" s="304"/>
      <c r="E36" s="304"/>
      <c r="F36" s="304"/>
      <c r="G36" s="304"/>
      <c r="H36" s="304"/>
      <c r="I36" s="304"/>
      <c r="J36" s="304"/>
      <c r="K36" s="304"/>
      <c r="L36" s="304"/>
      <c r="M36" s="304"/>
      <c r="N36" s="304"/>
      <c r="O36" s="305"/>
    </row>
    <row r="37" spans="1:24" ht="14.1" customHeight="1" x14ac:dyDescent="0.25">
      <c r="A37" s="303"/>
      <c r="B37" s="304"/>
      <c r="C37" s="304"/>
      <c r="D37" s="304"/>
      <c r="E37" s="304"/>
      <c r="F37" s="304"/>
      <c r="G37" s="304"/>
      <c r="H37" s="304"/>
      <c r="I37" s="304"/>
      <c r="J37" s="304"/>
      <c r="K37" s="304"/>
      <c r="L37" s="304"/>
      <c r="M37" s="304"/>
      <c r="N37" s="304"/>
      <c r="O37" s="305"/>
    </row>
    <row r="38" spans="1:24" ht="14.1" customHeight="1" x14ac:dyDescent="0.25">
      <c r="A38" s="303"/>
      <c r="B38" s="304"/>
      <c r="C38" s="304"/>
      <c r="D38" s="304"/>
      <c r="E38" s="304"/>
      <c r="F38" s="304"/>
      <c r="G38" s="304"/>
      <c r="H38" s="304"/>
      <c r="I38" s="304"/>
      <c r="J38" s="304"/>
      <c r="K38" s="304"/>
      <c r="L38" s="304"/>
      <c r="M38" s="304"/>
      <c r="N38" s="304"/>
      <c r="O38" s="305"/>
    </row>
    <row r="39" spans="1:24" ht="14.1" customHeight="1" x14ac:dyDescent="0.25">
      <c r="A39" s="303"/>
      <c r="B39" s="304"/>
      <c r="C39" s="304"/>
      <c r="D39" s="304"/>
      <c r="E39" s="304"/>
      <c r="F39" s="304"/>
      <c r="G39" s="304"/>
      <c r="H39" s="304"/>
      <c r="I39" s="304"/>
      <c r="J39" s="304"/>
      <c r="K39" s="304"/>
      <c r="L39" s="304"/>
      <c r="M39" s="304"/>
      <c r="N39" s="304"/>
      <c r="O39" s="305"/>
    </row>
    <row r="40" spans="1:24" ht="14.1" customHeight="1" x14ac:dyDescent="0.25">
      <c r="A40" s="303"/>
      <c r="B40" s="304"/>
      <c r="C40" s="304"/>
      <c r="D40" s="304"/>
      <c r="E40" s="304"/>
      <c r="F40" s="304"/>
      <c r="G40" s="304"/>
      <c r="H40" s="304"/>
      <c r="I40" s="304"/>
      <c r="J40" s="304"/>
      <c r="K40" s="304"/>
      <c r="L40" s="304"/>
      <c r="M40" s="304"/>
      <c r="N40" s="304"/>
      <c r="O40" s="305"/>
    </row>
    <row r="41" spans="1:24" ht="14.1" customHeight="1" x14ac:dyDescent="0.25">
      <c r="A41" s="303"/>
      <c r="B41" s="304"/>
      <c r="C41" s="304"/>
      <c r="D41" s="304"/>
      <c r="E41" s="304"/>
      <c r="F41" s="304"/>
      <c r="G41" s="304"/>
      <c r="H41" s="304"/>
      <c r="I41" s="304"/>
      <c r="J41" s="304"/>
      <c r="K41" s="304"/>
      <c r="L41" s="304"/>
      <c r="M41" s="304"/>
      <c r="N41" s="304"/>
      <c r="O41" s="305"/>
    </row>
    <row r="42" spans="1:24" ht="14.1" customHeight="1" x14ac:dyDescent="0.25">
      <c r="A42" s="303"/>
      <c r="B42" s="304"/>
      <c r="C42" s="304"/>
      <c r="D42" s="304"/>
      <c r="E42" s="304"/>
      <c r="F42" s="304"/>
      <c r="G42" s="304"/>
      <c r="H42" s="304"/>
      <c r="I42" s="304"/>
      <c r="J42" s="304"/>
      <c r="K42" s="304"/>
      <c r="L42" s="304"/>
      <c r="M42" s="304"/>
      <c r="N42" s="304"/>
      <c r="O42" s="305"/>
    </row>
    <row r="43" spans="1:24" ht="14.1" customHeight="1" x14ac:dyDescent="0.25">
      <c r="A43" s="306"/>
      <c r="B43" s="307"/>
      <c r="C43" s="307"/>
      <c r="D43" s="307"/>
      <c r="E43" s="307"/>
      <c r="F43" s="307"/>
      <c r="G43" s="307"/>
      <c r="H43" s="307"/>
      <c r="I43" s="307"/>
      <c r="J43" s="307"/>
      <c r="K43" s="307"/>
      <c r="L43" s="307"/>
      <c r="M43" s="307"/>
      <c r="N43" s="307"/>
      <c r="O43" s="308"/>
    </row>
    <row r="44" spans="1:24" s="135" customFormat="1" ht="14.1" customHeight="1" x14ac:dyDescent="0.25">
      <c r="A44" s="205"/>
      <c r="B44" s="205"/>
      <c r="C44" s="205"/>
      <c r="D44" s="205"/>
      <c r="E44" s="205"/>
      <c r="F44" s="149"/>
      <c r="G44" s="299"/>
      <c r="H44" s="299"/>
      <c r="I44" s="299"/>
      <c r="J44" s="299"/>
      <c r="K44" s="120"/>
      <c r="L44" s="134"/>
      <c r="M44" s="134"/>
      <c r="N44" s="294"/>
      <c r="O44" s="294"/>
      <c r="P44" s="134"/>
      <c r="Q44" s="134"/>
      <c r="R44" s="134"/>
      <c r="S44" s="134"/>
      <c r="T44" s="134"/>
      <c r="U44" s="134"/>
      <c r="V44" s="134"/>
      <c r="W44" s="134"/>
      <c r="X44" s="134"/>
    </row>
    <row r="45" spans="1:24" ht="14.4" x14ac:dyDescent="0.3">
      <c r="A45" s="73"/>
    </row>
    <row r="50" spans="1:24" s="135" customFormat="1" x14ac:dyDescent="0.25">
      <c r="A50" s="295"/>
      <c r="B50" s="295"/>
      <c r="C50" s="295"/>
      <c r="D50" s="295"/>
      <c r="E50" s="295"/>
      <c r="F50" s="295"/>
      <c r="G50" s="133"/>
      <c r="H50" s="133"/>
      <c r="I50" s="120"/>
      <c r="J50" s="120"/>
      <c r="K50" s="120"/>
      <c r="L50" s="134"/>
      <c r="M50" s="134"/>
      <c r="N50" s="294"/>
      <c r="O50" s="294"/>
      <c r="P50" s="134"/>
      <c r="Q50" s="134"/>
      <c r="R50" s="134"/>
      <c r="S50" s="134"/>
      <c r="T50" s="134"/>
      <c r="U50" s="134"/>
      <c r="V50" s="134"/>
      <c r="W50" s="134"/>
      <c r="X50" s="134"/>
    </row>
    <row r="68" spans="2:2" x14ac:dyDescent="0.25">
      <c r="B68" s="72"/>
    </row>
  </sheetData>
  <sheetProtection selectLockedCells="1"/>
  <mergeCells count="40">
    <mergeCell ref="K1:O1"/>
    <mergeCell ref="A1:J1"/>
    <mergeCell ref="C6:L6"/>
    <mergeCell ref="A3:O3"/>
    <mergeCell ref="D7:L7"/>
    <mergeCell ref="A4:O4"/>
    <mergeCell ref="E8:H8"/>
    <mergeCell ref="I8:J8"/>
    <mergeCell ref="E9:H9"/>
    <mergeCell ref="I9:J9"/>
    <mergeCell ref="E16:H16"/>
    <mergeCell ref="I14:J14"/>
    <mergeCell ref="D13:L13"/>
    <mergeCell ref="E14:H14"/>
    <mergeCell ref="E10:H10"/>
    <mergeCell ref="I10:J10"/>
    <mergeCell ref="E23:H23"/>
    <mergeCell ref="I15:J15"/>
    <mergeCell ref="I16:J16"/>
    <mergeCell ref="E20:H20"/>
    <mergeCell ref="E24:H24"/>
    <mergeCell ref="E15:H15"/>
    <mergeCell ref="I20:J20"/>
    <mergeCell ref="I21:J21"/>
    <mergeCell ref="I22:J22"/>
    <mergeCell ref="I23:J23"/>
    <mergeCell ref="I24:J24"/>
    <mergeCell ref="E21:H21"/>
    <mergeCell ref="E22:H22"/>
    <mergeCell ref="I25:J25"/>
    <mergeCell ref="I26:J26"/>
    <mergeCell ref="I27:J27"/>
    <mergeCell ref="N50:O50"/>
    <mergeCell ref="A50:F50"/>
    <mergeCell ref="E25:H25"/>
    <mergeCell ref="E26:H26"/>
    <mergeCell ref="E27:H27"/>
    <mergeCell ref="G44:J44"/>
    <mergeCell ref="N44:O44"/>
    <mergeCell ref="A32:O43"/>
  </mergeCells>
  <dataValidations xWindow="901" yWindow="632" count="1">
    <dataValidation allowBlank="1" showInputMessage="1" showErrorMessage="1" promptTitle="INSTRUCTIONS:" prompt="1)  DO NOT EXCEED the space provided as it will not appear when cursor is outside the box or when page is printed._x000a_2)  Press ALT and ENTER to start a new paragraph._x000a_3)  For Spell Check go to REVIEW and click on &quot;ABC Spelling.&quot;" sqref="P40 A32:O43" xr:uid="{00000000-0002-0000-0100-000000000000}"/>
  </dataValidations>
  <printOptions horizontalCentered="1"/>
  <pageMargins left="0.2" right="0.2" top="0.75" bottom="0.75" header="0.3" footer="0.3"/>
  <pageSetup orientation="portrait" r:id="rId1"/>
  <headerFooter>
    <oddFooter>&amp;L&amp;7&amp;Z&amp;F
Report 1 Tab</oddFooter>
  </headerFooter>
  <rowBreaks count="1" manualBreakCount="1">
    <brk id="5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K57"/>
  <sheetViews>
    <sheetView showGridLines="0" workbookViewId="0">
      <pane ySplit="4" topLeftCell="A11" activePane="bottomLeft" state="frozen"/>
      <selection activeCell="B1" sqref="B1"/>
      <selection pane="bottomLeft" activeCell="J34" sqref="J34:K34"/>
    </sheetView>
  </sheetViews>
  <sheetFormatPr defaultRowHeight="13.2" x14ac:dyDescent="0.25"/>
  <cols>
    <col min="1" max="1" width="3.77734375" style="39" customWidth="1"/>
    <col min="2" max="4" width="9.21875" style="39"/>
    <col min="5" max="5" width="6.77734375" style="39" customWidth="1"/>
    <col min="6" max="6" width="6.5546875" style="39" customWidth="1"/>
    <col min="7" max="14" width="5.77734375" style="39" customWidth="1"/>
    <col min="15" max="15" width="6.77734375" style="39" customWidth="1"/>
    <col min="16" max="37" width="8.77734375" style="39"/>
  </cols>
  <sheetData>
    <row r="1" spans="1:37" ht="15.75" customHeight="1" x14ac:dyDescent="0.3">
      <c r="A1" s="351" t="s">
        <v>843</v>
      </c>
      <c r="B1" s="352"/>
      <c r="C1" s="352"/>
      <c r="D1" s="352"/>
      <c r="E1" s="352"/>
      <c r="F1" s="352"/>
      <c r="G1" s="352"/>
      <c r="H1" s="352"/>
      <c r="I1" s="352"/>
      <c r="J1" s="352"/>
      <c r="K1" s="349" t="str">
        <f>'CONTACT INFORMATION'!$A$24</f>
        <v>Fresno</v>
      </c>
      <c r="L1" s="349"/>
      <c r="M1" s="349"/>
      <c r="N1" s="349"/>
      <c r="O1" s="350"/>
    </row>
    <row r="2" spans="1:37" s="1" customFormat="1" ht="8.1" customHeight="1" x14ac:dyDescent="0.3">
      <c r="A2" s="57"/>
      <c r="B2" s="57"/>
      <c r="C2" s="57"/>
      <c r="D2" s="57"/>
      <c r="E2" s="57"/>
      <c r="F2" s="57"/>
      <c r="G2" s="57"/>
      <c r="H2" s="57"/>
      <c r="I2" s="57"/>
      <c r="J2" s="57"/>
      <c r="K2" s="57"/>
      <c r="L2" s="57"/>
      <c r="M2" s="57"/>
      <c r="N2" s="57"/>
      <c r="O2" s="57"/>
      <c r="P2" s="211"/>
      <c r="Q2" s="211"/>
      <c r="R2" s="211"/>
      <c r="S2" s="211"/>
      <c r="T2" s="211"/>
      <c r="U2" s="211"/>
      <c r="V2" s="211"/>
      <c r="W2" s="211"/>
      <c r="X2" s="211"/>
      <c r="Y2" s="211"/>
      <c r="Z2" s="211"/>
      <c r="AA2" s="211"/>
      <c r="AB2" s="211"/>
      <c r="AC2" s="211"/>
      <c r="AD2" s="211"/>
      <c r="AE2" s="211"/>
      <c r="AF2" s="211"/>
      <c r="AG2" s="211"/>
      <c r="AH2" s="211"/>
      <c r="AI2" s="211"/>
      <c r="AJ2" s="211"/>
      <c r="AK2" s="211"/>
    </row>
    <row r="3" spans="1:37" ht="24" customHeight="1" x14ac:dyDescent="0.25">
      <c r="A3" s="346" t="s">
        <v>845</v>
      </c>
      <c r="B3" s="347"/>
      <c r="C3" s="347"/>
      <c r="D3" s="347"/>
      <c r="E3" s="347"/>
      <c r="F3" s="347"/>
      <c r="G3" s="347"/>
      <c r="H3" s="347"/>
      <c r="I3" s="347"/>
      <c r="J3" s="347"/>
      <c r="K3" s="347"/>
      <c r="L3" s="347"/>
      <c r="M3" s="347"/>
      <c r="N3" s="347"/>
      <c r="O3" s="348"/>
    </row>
    <row r="4" spans="1:37" s="42" customFormat="1" ht="44.25" customHeight="1" x14ac:dyDescent="0.25">
      <c r="A4" s="343" t="s">
        <v>925</v>
      </c>
      <c r="B4" s="344"/>
      <c r="C4" s="344"/>
      <c r="D4" s="344"/>
      <c r="E4" s="344"/>
      <c r="F4" s="344"/>
      <c r="G4" s="344"/>
      <c r="H4" s="344"/>
      <c r="I4" s="344"/>
      <c r="J4" s="344"/>
      <c r="K4" s="344"/>
      <c r="L4" s="344"/>
      <c r="M4" s="344"/>
      <c r="N4" s="344"/>
      <c r="O4" s="345"/>
      <c r="P4" s="212"/>
      <c r="Q4" s="212"/>
      <c r="R4" s="212"/>
      <c r="S4" s="212"/>
      <c r="T4" s="212"/>
      <c r="U4" s="212"/>
      <c r="V4" s="212"/>
      <c r="W4" s="212"/>
      <c r="X4" s="212"/>
      <c r="Y4" s="212"/>
      <c r="Z4" s="212"/>
      <c r="AA4" s="212"/>
      <c r="AB4" s="212"/>
      <c r="AC4" s="212"/>
      <c r="AD4" s="212"/>
      <c r="AE4" s="212"/>
      <c r="AF4" s="212"/>
      <c r="AG4" s="212"/>
      <c r="AH4" s="212"/>
      <c r="AI4" s="212"/>
      <c r="AJ4" s="212"/>
      <c r="AK4" s="212"/>
    </row>
    <row r="5" spans="1:37" s="44" customFormat="1" ht="8.1" customHeight="1" x14ac:dyDescent="0.25">
      <c r="A5" s="89"/>
      <c r="B5" s="71"/>
      <c r="C5" s="71"/>
      <c r="D5" s="71"/>
      <c r="E5" s="71"/>
      <c r="F5" s="71"/>
      <c r="G5" s="71"/>
      <c r="H5" s="71"/>
      <c r="I5" s="71"/>
      <c r="J5" s="71"/>
      <c r="K5" s="71"/>
      <c r="L5" s="71"/>
      <c r="M5" s="71"/>
      <c r="N5" s="71"/>
      <c r="O5" s="90"/>
      <c r="P5" s="213"/>
      <c r="Q5" s="213"/>
      <c r="R5" s="213"/>
      <c r="S5" s="213"/>
      <c r="T5" s="213"/>
      <c r="U5" s="213"/>
      <c r="V5" s="213"/>
      <c r="W5" s="213"/>
      <c r="X5" s="213"/>
      <c r="Y5" s="213"/>
      <c r="Z5" s="213"/>
      <c r="AA5" s="213"/>
      <c r="AB5" s="213"/>
      <c r="AC5" s="213"/>
      <c r="AD5" s="213"/>
      <c r="AE5" s="213"/>
      <c r="AF5" s="213"/>
      <c r="AG5" s="213"/>
      <c r="AH5" s="213"/>
      <c r="AI5" s="213"/>
      <c r="AJ5" s="213"/>
      <c r="AK5" s="213"/>
    </row>
    <row r="6" spans="1:37" s="150" customFormat="1" ht="13.5" customHeight="1" x14ac:dyDescent="0.3">
      <c r="A6" s="102"/>
      <c r="B6" s="128"/>
      <c r="C6" s="353" t="s">
        <v>824</v>
      </c>
      <c r="D6" s="353"/>
      <c r="E6" s="353"/>
      <c r="F6" s="353"/>
      <c r="G6" s="353"/>
      <c r="H6" s="353"/>
      <c r="I6" s="353"/>
      <c r="J6" s="353"/>
      <c r="K6" s="353"/>
      <c r="L6" s="353"/>
      <c r="M6" s="151"/>
      <c r="N6" s="151"/>
      <c r="O6" s="152"/>
      <c r="P6" s="128"/>
      <c r="Q6" s="128"/>
      <c r="R6" s="128"/>
      <c r="S6" s="128"/>
      <c r="T6" s="128"/>
      <c r="U6" s="128"/>
      <c r="V6" s="128"/>
      <c r="W6" s="128"/>
      <c r="X6" s="128"/>
      <c r="Y6" s="128"/>
      <c r="Z6" s="128"/>
      <c r="AA6" s="128"/>
      <c r="AB6" s="128"/>
      <c r="AC6" s="128"/>
      <c r="AD6" s="128"/>
      <c r="AE6" s="128"/>
      <c r="AF6" s="128"/>
      <c r="AG6" s="128"/>
      <c r="AH6" s="128"/>
      <c r="AI6" s="128"/>
      <c r="AJ6" s="128"/>
      <c r="AK6" s="128"/>
    </row>
    <row r="7" spans="1:37" ht="14.1" customHeight="1" x14ac:dyDescent="0.3">
      <c r="A7" s="123"/>
      <c r="B7" s="128"/>
      <c r="C7" s="128"/>
      <c r="D7" s="364" t="s">
        <v>889</v>
      </c>
      <c r="E7" s="365"/>
      <c r="F7" s="365"/>
      <c r="G7" s="365"/>
      <c r="H7" s="365"/>
      <c r="I7" s="366"/>
      <c r="J7" s="360">
        <v>1257</v>
      </c>
      <c r="K7" s="361"/>
      <c r="L7" s="45"/>
      <c r="M7" s="45"/>
      <c r="N7" s="45"/>
      <c r="O7" s="92"/>
    </row>
    <row r="8" spans="1:37" ht="14.1" customHeight="1" x14ac:dyDescent="0.25">
      <c r="A8" s="91"/>
      <c r="B8" s="128"/>
      <c r="C8" s="128"/>
      <c r="D8" s="354" t="s">
        <v>890</v>
      </c>
      <c r="E8" s="355"/>
      <c r="F8" s="355"/>
      <c r="G8" s="355"/>
      <c r="H8" s="355"/>
      <c r="I8" s="356"/>
      <c r="J8" s="362">
        <v>599</v>
      </c>
      <c r="K8" s="363"/>
      <c r="L8" s="125"/>
      <c r="M8" s="125"/>
      <c r="N8" s="125"/>
      <c r="O8" s="126"/>
      <c r="P8" s="214"/>
    </row>
    <row r="9" spans="1:37" ht="14.1" customHeight="1" x14ac:dyDescent="0.25">
      <c r="A9" s="91"/>
      <c r="B9" s="128"/>
      <c r="C9" s="128"/>
      <c r="D9" s="357" t="s">
        <v>827</v>
      </c>
      <c r="E9" s="358"/>
      <c r="F9" s="358"/>
      <c r="G9" s="358"/>
      <c r="H9" s="358"/>
      <c r="I9" s="359"/>
      <c r="J9" s="338">
        <f>SUM(I7:J8)</f>
        <v>1856</v>
      </c>
      <c r="K9" s="339"/>
      <c r="L9" s="125"/>
      <c r="M9" s="125"/>
      <c r="N9" s="125"/>
      <c r="O9" s="126"/>
      <c r="P9" s="214"/>
    </row>
    <row r="10" spans="1:37" s="1" customFormat="1" ht="8.1" customHeight="1" x14ac:dyDescent="0.25">
      <c r="A10" s="102"/>
      <c r="B10" s="128"/>
      <c r="C10" s="128"/>
      <c r="D10" s="161"/>
      <c r="E10" s="161"/>
      <c r="F10" s="161"/>
      <c r="G10" s="161"/>
      <c r="H10" s="161"/>
      <c r="I10" s="161"/>
      <c r="J10" s="162"/>
      <c r="K10" s="162"/>
      <c r="L10" s="125"/>
      <c r="M10" s="125"/>
      <c r="N10" s="125"/>
      <c r="O10" s="126"/>
      <c r="P10" s="216"/>
      <c r="Q10" s="211"/>
      <c r="R10" s="211"/>
      <c r="S10" s="211"/>
      <c r="T10" s="211"/>
      <c r="U10" s="211"/>
      <c r="V10" s="211"/>
      <c r="W10" s="211"/>
      <c r="X10" s="211"/>
      <c r="Y10" s="211"/>
      <c r="Z10" s="211"/>
      <c r="AA10" s="211"/>
      <c r="AB10" s="211"/>
      <c r="AC10" s="211"/>
      <c r="AD10" s="211"/>
      <c r="AE10" s="211"/>
      <c r="AF10" s="211"/>
      <c r="AG10" s="211"/>
      <c r="AH10" s="211"/>
      <c r="AI10" s="211"/>
      <c r="AJ10" s="211"/>
      <c r="AK10" s="211"/>
    </row>
    <row r="11" spans="1:37" s="1" customFormat="1" ht="14.1" customHeight="1" x14ac:dyDescent="0.25">
      <c r="A11" s="102"/>
      <c r="B11" s="128"/>
      <c r="C11" s="372" t="s">
        <v>825</v>
      </c>
      <c r="D11" s="372"/>
      <c r="E11" s="372"/>
      <c r="F11" s="372"/>
      <c r="G11" s="372"/>
      <c r="H11" s="125"/>
      <c r="I11" s="125"/>
      <c r="J11" s="125"/>
      <c r="K11" s="125"/>
      <c r="L11" s="125"/>
      <c r="M11" s="125"/>
      <c r="N11" s="125"/>
      <c r="O11" s="126"/>
      <c r="P11" s="216"/>
      <c r="Q11" s="211"/>
      <c r="R11" s="211"/>
      <c r="S11" s="211"/>
      <c r="T11" s="211"/>
      <c r="U11" s="211"/>
      <c r="V11" s="211"/>
      <c r="W11" s="211"/>
      <c r="X11" s="211"/>
      <c r="Y11" s="211"/>
      <c r="Z11" s="211"/>
      <c r="AA11" s="211"/>
      <c r="AB11" s="211"/>
      <c r="AC11" s="211"/>
      <c r="AD11" s="211"/>
      <c r="AE11" s="211"/>
      <c r="AF11" s="211"/>
      <c r="AG11" s="211"/>
      <c r="AH11" s="211"/>
      <c r="AI11" s="211"/>
      <c r="AJ11" s="211"/>
      <c r="AK11" s="211"/>
    </row>
    <row r="12" spans="1:37" s="1" customFormat="1" ht="14.1" customHeight="1" x14ac:dyDescent="0.25">
      <c r="A12" s="102"/>
      <c r="B12" s="128"/>
      <c r="C12" s="45"/>
      <c r="D12" s="373" t="s">
        <v>885</v>
      </c>
      <c r="E12" s="374"/>
      <c r="F12" s="374"/>
      <c r="G12" s="374"/>
      <c r="H12" s="374"/>
      <c r="I12" s="374"/>
      <c r="J12" s="290">
        <v>210</v>
      </c>
      <c r="K12" s="291"/>
      <c r="L12" s="125"/>
      <c r="M12" s="125"/>
      <c r="N12" s="125"/>
      <c r="O12" s="126"/>
      <c r="P12" s="216"/>
      <c r="Q12" s="211"/>
      <c r="R12" s="211"/>
      <c r="S12" s="211"/>
      <c r="T12" s="211"/>
      <c r="U12" s="211"/>
      <c r="V12" s="211"/>
      <c r="W12" s="211"/>
      <c r="X12" s="211"/>
      <c r="Y12" s="211"/>
      <c r="Z12" s="211"/>
      <c r="AA12" s="211"/>
      <c r="AB12" s="211"/>
      <c r="AC12" s="211"/>
      <c r="AD12" s="211"/>
      <c r="AE12" s="211"/>
      <c r="AF12" s="211"/>
      <c r="AG12" s="211"/>
      <c r="AH12" s="211"/>
      <c r="AI12" s="211"/>
      <c r="AJ12" s="211"/>
      <c r="AK12" s="211"/>
    </row>
    <row r="13" spans="1:37" s="1" customFormat="1" ht="14.1" customHeight="1" x14ac:dyDescent="0.25">
      <c r="A13" s="102"/>
      <c r="B13" s="128"/>
      <c r="C13" s="45"/>
      <c r="D13" s="375" t="s">
        <v>891</v>
      </c>
      <c r="E13" s="376"/>
      <c r="F13" s="376"/>
      <c r="G13" s="376"/>
      <c r="H13" s="376"/>
      <c r="I13" s="376"/>
      <c r="J13" s="288">
        <v>4</v>
      </c>
      <c r="K13" s="289"/>
      <c r="L13" s="125"/>
      <c r="M13" s="125"/>
      <c r="N13" s="125"/>
      <c r="O13" s="126"/>
      <c r="P13" s="216"/>
      <c r="Q13" s="211"/>
      <c r="R13" s="211"/>
      <c r="S13" s="211"/>
      <c r="T13" s="211"/>
      <c r="U13" s="211"/>
      <c r="V13" s="211"/>
      <c r="W13" s="211"/>
      <c r="X13" s="211"/>
      <c r="Y13" s="211"/>
      <c r="Z13" s="211"/>
      <c r="AA13" s="211"/>
      <c r="AB13" s="211"/>
      <c r="AC13" s="211"/>
      <c r="AD13" s="211"/>
      <c r="AE13" s="211"/>
      <c r="AF13" s="211"/>
      <c r="AG13" s="211"/>
      <c r="AH13" s="211"/>
      <c r="AI13" s="211"/>
      <c r="AJ13" s="211"/>
      <c r="AK13" s="211"/>
    </row>
    <row r="14" spans="1:37" s="1" customFormat="1" ht="14.1" customHeight="1" x14ac:dyDescent="0.25">
      <c r="A14" s="102"/>
      <c r="B14" s="128"/>
      <c r="C14" s="45"/>
      <c r="D14" s="373" t="s">
        <v>892</v>
      </c>
      <c r="E14" s="374"/>
      <c r="F14" s="374"/>
      <c r="G14" s="374"/>
      <c r="H14" s="374"/>
      <c r="I14" s="374"/>
      <c r="J14" s="290">
        <v>924</v>
      </c>
      <c r="K14" s="291"/>
      <c r="L14" s="125"/>
      <c r="M14" s="125"/>
      <c r="N14" s="125"/>
      <c r="O14" s="126"/>
      <c r="P14" s="216"/>
      <c r="Q14" s="211"/>
      <c r="R14" s="211"/>
      <c r="S14" s="211"/>
      <c r="T14" s="211"/>
      <c r="U14" s="211"/>
      <c r="V14" s="211"/>
      <c r="W14" s="211"/>
      <c r="X14" s="211"/>
      <c r="Y14" s="211"/>
      <c r="Z14" s="211"/>
      <c r="AA14" s="211"/>
      <c r="AB14" s="211"/>
      <c r="AC14" s="211"/>
      <c r="AD14" s="211"/>
      <c r="AE14" s="211"/>
      <c r="AF14" s="211"/>
      <c r="AG14" s="211"/>
      <c r="AH14" s="211"/>
      <c r="AI14" s="211"/>
      <c r="AJ14" s="211"/>
      <c r="AK14" s="211"/>
    </row>
    <row r="15" spans="1:37" s="1" customFormat="1" ht="14.1" customHeight="1" x14ac:dyDescent="0.25">
      <c r="A15" s="102"/>
      <c r="B15" s="128"/>
      <c r="C15" s="45"/>
      <c r="D15" s="375" t="s">
        <v>893</v>
      </c>
      <c r="E15" s="376"/>
      <c r="F15" s="376"/>
      <c r="G15" s="376"/>
      <c r="H15" s="376"/>
      <c r="I15" s="376"/>
      <c r="J15" s="288">
        <v>9</v>
      </c>
      <c r="K15" s="289"/>
      <c r="L15" s="125"/>
      <c r="M15" s="125"/>
      <c r="N15" s="125"/>
      <c r="O15" s="126"/>
      <c r="P15" s="216"/>
      <c r="Q15" s="211"/>
      <c r="R15" s="211"/>
      <c r="S15" s="211"/>
      <c r="T15" s="211"/>
      <c r="U15" s="211"/>
      <c r="V15" s="211"/>
      <c r="W15" s="211"/>
      <c r="X15" s="211"/>
      <c r="Y15" s="211"/>
      <c r="Z15" s="211"/>
      <c r="AA15" s="211"/>
      <c r="AB15" s="211"/>
      <c r="AC15" s="211"/>
      <c r="AD15" s="211"/>
      <c r="AE15" s="211"/>
      <c r="AF15" s="211"/>
      <c r="AG15" s="211"/>
      <c r="AH15" s="211"/>
      <c r="AI15" s="211"/>
      <c r="AJ15" s="211"/>
      <c r="AK15" s="211"/>
    </row>
    <row r="16" spans="1:37" s="1" customFormat="1" ht="14.1" customHeight="1" x14ac:dyDescent="0.25">
      <c r="A16" s="102"/>
      <c r="B16" s="128"/>
      <c r="C16" s="45"/>
      <c r="D16" s="373" t="s">
        <v>894</v>
      </c>
      <c r="E16" s="374"/>
      <c r="F16" s="374"/>
      <c r="G16" s="374"/>
      <c r="H16" s="374"/>
      <c r="I16" s="374"/>
      <c r="J16" s="290">
        <v>49</v>
      </c>
      <c r="K16" s="291"/>
      <c r="L16" s="125"/>
      <c r="M16" s="125"/>
      <c r="N16" s="125"/>
      <c r="O16" s="126"/>
      <c r="P16" s="216"/>
      <c r="Q16" s="211"/>
      <c r="R16" s="211"/>
      <c r="S16" s="211"/>
      <c r="T16" s="211"/>
      <c r="U16" s="211"/>
      <c r="V16" s="211"/>
      <c r="W16" s="211"/>
      <c r="X16" s="211"/>
      <c r="Y16" s="211"/>
      <c r="Z16" s="211"/>
      <c r="AA16" s="211"/>
      <c r="AB16" s="211"/>
      <c r="AC16" s="211"/>
      <c r="AD16" s="211"/>
      <c r="AE16" s="211"/>
      <c r="AF16" s="211"/>
      <c r="AG16" s="211"/>
      <c r="AH16" s="211"/>
      <c r="AI16" s="211"/>
      <c r="AJ16" s="211"/>
      <c r="AK16" s="211"/>
    </row>
    <row r="17" spans="1:37" s="1" customFormat="1" ht="8.1" customHeight="1" x14ac:dyDescent="0.25">
      <c r="A17" s="102"/>
      <c r="B17" s="128"/>
      <c r="C17" s="128"/>
      <c r="D17" s="161"/>
      <c r="E17" s="161"/>
      <c r="F17" s="161"/>
      <c r="G17" s="161"/>
      <c r="H17" s="161"/>
      <c r="I17" s="161"/>
      <c r="J17" s="162"/>
      <c r="K17" s="162"/>
      <c r="L17" s="125"/>
      <c r="M17" s="125"/>
      <c r="N17" s="125"/>
      <c r="O17" s="126"/>
      <c r="P17" s="216"/>
      <c r="Q17" s="211"/>
      <c r="R17" s="211"/>
      <c r="S17" s="211"/>
      <c r="T17" s="211"/>
      <c r="U17" s="211"/>
      <c r="V17" s="211"/>
      <c r="W17" s="211"/>
      <c r="X17" s="211"/>
      <c r="Y17" s="211"/>
      <c r="Z17" s="211"/>
      <c r="AA17" s="211"/>
      <c r="AB17" s="211"/>
      <c r="AC17" s="211"/>
      <c r="AD17" s="211"/>
      <c r="AE17" s="211"/>
      <c r="AF17" s="211"/>
      <c r="AG17" s="211"/>
      <c r="AH17" s="211"/>
      <c r="AI17" s="211"/>
      <c r="AJ17" s="211"/>
      <c r="AK17" s="211"/>
    </row>
    <row r="18" spans="1:37" s="1" customFormat="1" ht="14.1" customHeight="1" x14ac:dyDescent="0.25">
      <c r="A18" s="102"/>
      <c r="B18" s="128"/>
      <c r="C18" s="372" t="s">
        <v>826</v>
      </c>
      <c r="D18" s="372"/>
      <c r="E18" s="372"/>
      <c r="F18" s="372"/>
      <c r="G18" s="372"/>
      <c r="H18" s="125"/>
      <c r="I18" s="125"/>
      <c r="J18" s="125"/>
      <c r="K18" s="125"/>
      <c r="L18" s="125"/>
      <c r="M18" s="125"/>
      <c r="N18" s="125"/>
      <c r="O18" s="126"/>
      <c r="P18" s="216"/>
      <c r="Q18" s="211"/>
      <c r="R18" s="211"/>
      <c r="S18" s="211"/>
      <c r="T18" s="211"/>
      <c r="U18" s="211"/>
      <c r="V18" s="211"/>
      <c r="W18" s="211"/>
      <c r="X18" s="211"/>
      <c r="Y18" s="211"/>
      <c r="Z18" s="211"/>
      <c r="AA18" s="211"/>
      <c r="AB18" s="211"/>
      <c r="AC18" s="211"/>
      <c r="AD18" s="211"/>
      <c r="AE18" s="211"/>
      <c r="AF18" s="211"/>
      <c r="AG18" s="211"/>
      <c r="AH18" s="211"/>
      <c r="AI18" s="211"/>
      <c r="AJ18" s="211"/>
      <c r="AK18" s="211"/>
    </row>
    <row r="19" spans="1:37" s="1" customFormat="1" ht="14.1" customHeight="1" x14ac:dyDescent="0.25">
      <c r="A19" s="102"/>
      <c r="B19" s="128"/>
      <c r="C19" s="128"/>
      <c r="D19" s="377" t="s">
        <v>895</v>
      </c>
      <c r="E19" s="378"/>
      <c r="F19" s="378"/>
      <c r="G19" s="378"/>
      <c r="H19" s="378"/>
      <c r="I19" s="378"/>
      <c r="J19" s="311">
        <v>128</v>
      </c>
      <c r="K19" s="379"/>
      <c r="L19" s="125"/>
      <c r="M19" s="125"/>
      <c r="N19" s="125"/>
      <c r="O19" s="126"/>
      <c r="P19" s="216"/>
      <c r="Q19" s="211"/>
      <c r="R19" s="211"/>
      <c r="S19" s="211"/>
      <c r="T19" s="211"/>
      <c r="U19" s="211"/>
      <c r="V19" s="211"/>
      <c r="W19" s="211"/>
      <c r="X19" s="211"/>
      <c r="Y19" s="211"/>
      <c r="Z19" s="211"/>
      <c r="AA19" s="211"/>
      <c r="AB19" s="211"/>
      <c r="AC19" s="211"/>
      <c r="AD19" s="211"/>
      <c r="AE19" s="211"/>
      <c r="AF19" s="211"/>
      <c r="AG19" s="211"/>
      <c r="AH19" s="211"/>
      <c r="AI19" s="211"/>
      <c r="AJ19" s="211"/>
      <c r="AK19" s="211"/>
    </row>
    <row r="20" spans="1:37" s="1" customFormat="1" ht="14.1" customHeight="1" x14ac:dyDescent="0.25">
      <c r="A20" s="102"/>
      <c r="B20" s="128"/>
      <c r="C20" s="128"/>
      <c r="D20" s="380" t="s">
        <v>896</v>
      </c>
      <c r="E20" s="381"/>
      <c r="F20" s="381"/>
      <c r="G20" s="381"/>
      <c r="H20" s="381"/>
      <c r="I20" s="381"/>
      <c r="J20" s="382">
        <v>4</v>
      </c>
      <c r="K20" s="383"/>
      <c r="L20" s="125"/>
      <c r="M20" s="125"/>
      <c r="N20" s="125"/>
      <c r="O20" s="126"/>
      <c r="P20" s="216"/>
      <c r="Q20" s="211"/>
      <c r="R20" s="211"/>
      <c r="S20" s="211"/>
      <c r="T20" s="211"/>
      <c r="U20" s="211"/>
      <c r="V20" s="211"/>
      <c r="W20" s="211"/>
      <c r="X20" s="211"/>
      <c r="Y20" s="211"/>
      <c r="Z20" s="211"/>
      <c r="AA20" s="211"/>
      <c r="AB20" s="211"/>
      <c r="AC20" s="211"/>
      <c r="AD20" s="211"/>
      <c r="AE20" s="211"/>
      <c r="AF20" s="211"/>
      <c r="AG20" s="211"/>
      <c r="AH20" s="211"/>
      <c r="AI20" s="211"/>
      <c r="AJ20" s="211"/>
      <c r="AK20" s="211"/>
    </row>
    <row r="21" spans="1:37" s="1" customFormat="1" ht="14.1" customHeight="1" x14ac:dyDescent="0.25">
      <c r="A21" s="102"/>
      <c r="B21" s="128"/>
      <c r="C21" s="128"/>
      <c r="D21" s="377" t="s">
        <v>897</v>
      </c>
      <c r="E21" s="378"/>
      <c r="F21" s="378"/>
      <c r="G21" s="378"/>
      <c r="H21" s="378"/>
      <c r="I21" s="378"/>
      <c r="J21" s="311">
        <v>687</v>
      </c>
      <c r="K21" s="379"/>
      <c r="L21" s="125"/>
      <c r="M21" s="125"/>
      <c r="N21" s="125"/>
      <c r="O21" s="126"/>
      <c r="P21" s="216"/>
      <c r="Q21" s="211"/>
      <c r="R21" s="211"/>
      <c r="S21" s="211"/>
      <c r="T21" s="211"/>
      <c r="U21" s="211"/>
      <c r="V21" s="211"/>
      <c r="W21" s="211"/>
      <c r="X21" s="211"/>
      <c r="Y21" s="211"/>
      <c r="Z21" s="211"/>
      <c r="AA21" s="211"/>
      <c r="AB21" s="211"/>
      <c r="AC21" s="211"/>
      <c r="AD21" s="211"/>
      <c r="AE21" s="211"/>
      <c r="AF21" s="211"/>
      <c r="AG21" s="211"/>
      <c r="AH21" s="211"/>
      <c r="AI21" s="211"/>
      <c r="AJ21" s="211"/>
      <c r="AK21" s="211"/>
    </row>
    <row r="22" spans="1:37" s="1" customFormat="1" ht="14.1" customHeight="1" x14ac:dyDescent="0.25">
      <c r="A22" s="102"/>
      <c r="B22" s="128"/>
      <c r="C22" s="128"/>
      <c r="D22" s="380" t="s">
        <v>898</v>
      </c>
      <c r="E22" s="381"/>
      <c r="F22" s="381"/>
      <c r="G22" s="381"/>
      <c r="H22" s="381"/>
      <c r="I22" s="381"/>
      <c r="J22" s="382">
        <v>0</v>
      </c>
      <c r="K22" s="383"/>
      <c r="L22" s="125"/>
      <c r="M22" s="125"/>
      <c r="N22" s="125"/>
      <c r="O22" s="126"/>
      <c r="P22" s="216"/>
      <c r="Q22" s="211"/>
      <c r="R22" s="211"/>
      <c r="S22" s="211"/>
      <c r="T22" s="211"/>
      <c r="U22" s="211"/>
      <c r="V22" s="211"/>
      <c r="W22" s="211"/>
      <c r="X22" s="211"/>
      <c r="Y22" s="211"/>
      <c r="Z22" s="211"/>
      <c r="AA22" s="211"/>
      <c r="AB22" s="211"/>
      <c r="AC22" s="211"/>
      <c r="AD22" s="211"/>
      <c r="AE22" s="211"/>
      <c r="AF22" s="211"/>
      <c r="AG22" s="211"/>
      <c r="AH22" s="211"/>
      <c r="AI22" s="211"/>
      <c r="AJ22" s="211"/>
      <c r="AK22" s="211"/>
    </row>
    <row r="23" spans="1:37" s="1" customFormat="1" ht="14.1" customHeight="1" x14ac:dyDescent="0.25">
      <c r="A23" s="102"/>
      <c r="B23" s="128"/>
      <c r="C23" s="128"/>
      <c r="D23" s="377" t="s">
        <v>917</v>
      </c>
      <c r="E23" s="378"/>
      <c r="F23" s="378"/>
      <c r="G23" s="378"/>
      <c r="H23" s="378"/>
      <c r="I23" s="378"/>
      <c r="J23" s="311">
        <v>89</v>
      </c>
      <c r="K23" s="379"/>
      <c r="L23" s="125"/>
      <c r="M23" s="125"/>
      <c r="N23" s="125"/>
      <c r="O23" s="126"/>
      <c r="P23" s="216"/>
      <c r="Q23" s="211"/>
      <c r="R23" s="211"/>
      <c r="S23" s="211"/>
      <c r="T23" s="211"/>
      <c r="U23" s="211"/>
      <c r="V23" s="211"/>
      <c r="W23" s="211"/>
      <c r="X23" s="211"/>
      <c r="Y23" s="211"/>
      <c r="Z23" s="211"/>
      <c r="AA23" s="211"/>
      <c r="AB23" s="211"/>
      <c r="AC23" s="211"/>
      <c r="AD23" s="211"/>
      <c r="AE23" s="211"/>
      <c r="AF23" s="211"/>
      <c r="AG23" s="211"/>
      <c r="AH23" s="211"/>
      <c r="AI23" s="211"/>
      <c r="AJ23" s="211"/>
      <c r="AK23" s="211"/>
    </row>
    <row r="24" spans="1:37" s="1" customFormat="1" ht="14.1" customHeight="1" x14ac:dyDescent="0.25">
      <c r="A24" s="102"/>
      <c r="B24" s="128"/>
      <c r="C24" s="128"/>
      <c r="D24" s="380" t="s">
        <v>512</v>
      </c>
      <c r="E24" s="381"/>
      <c r="F24" s="381"/>
      <c r="G24" s="381"/>
      <c r="H24" s="381"/>
      <c r="I24" s="381"/>
      <c r="J24" s="382">
        <v>0</v>
      </c>
      <c r="K24" s="383"/>
      <c r="L24" s="125"/>
      <c r="M24" s="125"/>
      <c r="N24" s="125"/>
      <c r="O24" s="126"/>
      <c r="P24" s="216"/>
      <c r="Q24" s="211"/>
      <c r="R24" s="211"/>
      <c r="S24" s="211"/>
      <c r="T24" s="211"/>
      <c r="U24" s="211"/>
      <c r="V24" s="211"/>
      <c r="W24" s="211"/>
      <c r="X24" s="211"/>
      <c r="Y24" s="211"/>
      <c r="Z24" s="211"/>
      <c r="AA24" s="211"/>
      <c r="AB24" s="211"/>
      <c r="AC24" s="211"/>
      <c r="AD24" s="211"/>
      <c r="AE24" s="211"/>
      <c r="AF24" s="211"/>
      <c r="AG24" s="211"/>
      <c r="AH24" s="211"/>
      <c r="AI24" s="211"/>
      <c r="AJ24" s="211"/>
      <c r="AK24" s="211"/>
    </row>
    <row r="25" spans="1:37" s="1" customFormat="1" ht="14.1" customHeight="1" x14ac:dyDescent="0.3">
      <c r="A25" s="102"/>
      <c r="B25" s="128"/>
      <c r="C25" s="45"/>
      <c r="D25" s="377" t="s">
        <v>900</v>
      </c>
      <c r="E25" s="378"/>
      <c r="F25" s="378"/>
      <c r="G25" s="378"/>
      <c r="H25" s="378"/>
      <c r="I25" s="378"/>
      <c r="J25" s="311">
        <v>16</v>
      </c>
      <c r="K25" s="379"/>
      <c r="L25" s="125"/>
      <c r="M25" s="125"/>
      <c r="N25" s="125"/>
      <c r="O25" s="126"/>
      <c r="P25" s="216"/>
      <c r="Q25" s="211"/>
      <c r="R25" s="211"/>
      <c r="S25" s="211"/>
      <c r="T25" s="211"/>
      <c r="U25" s="211"/>
      <c r="V25" s="211"/>
      <c r="W25" s="211"/>
      <c r="X25" s="211"/>
      <c r="Y25" s="211"/>
      <c r="Z25" s="211"/>
      <c r="AA25" s="211"/>
      <c r="AB25" s="211"/>
      <c r="AC25" s="211"/>
      <c r="AD25" s="211"/>
      <c r="AE25" s="211"/>
      <c r="AF25" s="211"/>
      <c r="AG25" s="211"/>
      <c r="AH25" s="211"/>
      <c r="AI25" s="211"/>
      <c r="AJ25" s="211"/>
      <c r="AK25" s="211"/>
    </row>
    <row r="26" spans="1:37" s="1" customFormat="1" ht="14.1" customHeight="1" x14ac:dyDescent="0.25">
      <c r="A26" s="102"/>
      <c r="B26" s="128"/>
      <c r="C26" s="128"/>
      <c r="D26" s="387" t="s">
        <v>827</v>
      </c>
      <c r="E26" s="388"/>
      <c r="F26" s="388"/>
      <c r="G26" s="388"/>
      <c r="H26" s="388"/>
      <c r="I26" s="389"/>
      <c r="J26" s="292">
        <f>SUM(J19:K25)</f>
        <v>924</v>
      </c>
      <c r="K26" s="293"/>
      <c r="L26" s="125"/>
      <c r="M26" s="125"/>
      <c r="N26" s="125"/>
      <c r="O26" s="126"/>
      <c r="P26" s="216"/>
      <c r="Q26" s="211"/>
      <c r="R26" s="211"/>
      <c r="S26" s="211"/>
      <c r="T26" s="211"/>
      <c r="U26" s="211"/>
      <c r="V26" s="211"/>
      <c r="W26" s="211"/>
      <c r="X26" s="211"/>
      <c r="Y26" s="211"/>
      <c r="Z26" s="211"/>
      <c r="AA26" s="211"/>
      <c r="AB26" s="211"/>
      <c r="AC26" s="211"/>
      <c r="AD26" s="211"/>
      <c r="AE26" s="211"/>
      <c r="AF26" s="211"/>
      <c r="AG26" s="211"/>
      <c r="AH26" s="211"/>
      <c r="AI26" s="211"/>
      <c r="AJ26" s="211"/>
      <c r="AK26" s="211"/>
    </row>
    <row r="27" spans="1:37" s="1" customFormat="1" ht="8.1" customHeight="1" x14ac:dyDescent="0.25">
      <c r="A27" s="102"/>
      <c r="B27" s="128"/>
      <c r="C27" s="128"/>
      <c r="D27" s="45"/>
      <c r="E27" s="125"/>
      <c r="F27" s="125"/>
      <c r="G27" s="125"/>
      <c r="H27" s="125"/>
      <c r="I27" s="125"/>
      <c r="J27" s="125"/>
      <c r="K27" s="125"/>
      <c r="L27" s="125"/>
      <c r="M27" s="125"/>
      <c r="N27" s="125"/>
      <c r="O27" s="126"/>
      <c r="P27" s="216"/>
      <c r="Q27" s="211"/>
      <c r="R27" s="211"/>
      <c r="S27" s="211"/>
      <c r="T27" s="211"/>
      <c r="U27" s="211"/>
      <c r="V27" s="211"/>
      <c r="W27" s="211"/>
      <c r="X27" s="211"/>
      <c r="Y27" s="211"/>
      <c r="Z27" s="211"/>
      <c r="AA27" s="211"/>
      <c r="AB27" s="211"/>
      <c r="AC27" s="211"/>
      <c r="AD27" s="211"/>
      <c r="AE27" s="211"/>
      <c r="AF27" s="211"/>
      <c r="AG27" s="211"/>
      <c r="AH27" s="211"/>
      <c r="AI27" s="211"/>
      <c r="AJ27" s="211"/>
      <c r="AK27" s="211"/>
    </row>
    <row r="28" spans="1:37" s="1" customFormat="1" ht="14.1" customHeight="1" x14ac:dyDescent="0.25">
      <c r="A28" s="102"/>
      <c r="B28" s="128"/>
      <c r="C28" s="384" t="s">
        <v>828</v>
      </c>
      <c r="D28" s="384"/>
      <c r="E28" s="384"/>
      <c r="F28" s="384"/>
      <c r="G28" s="384"/>
      <c r="H28" s="125"/>
      <c r="I28" s="125"/>
      <c r="J28" s="125"/>
      <c r="K28" s="125"/>
      <c r="L28" s="125"/>
      <c r="M28" s="125"/>
      <c r="N28" s="125"/>
      <c r="O28" s="126"/>
      <c r="P28" s="216"/>
      <c r="Q28" s="211"/>
      <c r="R28" s="211"/>
      <c r="S28" s="211"/>
      <c r="T28" s="211"/>
      <c r="U28" s="211"/>
      <c r="V28" s="211"/>
      <c r="W28" s="211"/>
      <c r="X28" s="211"/>
      <c r="Y28" s="211"/>
      <c r="Z28" s="211"/>
      <c r="AA28" s="211"/>
      <c r="AB28" s="211"/>
      <c r="AC28" s="211"/>
      <c r="AD28" s="211"/>
      <c r="AE28" s="211"/>
      <c r="AF28" s="211"/>
      <c r="AG28" s="211"/>
      <c r="AH28" s="211"/>
      <c r="AI28" s="211"/>
      <c r="AJ28" s="211"/>
      <c r="AK28" s="211"/>
    </row>
    <row r="29" spans="1:37" s="1" customFormat="1" ht="14.1" customHeight="1" x14ac:dyDescent="0.25">
      <c r="A29" s="102"/>
      <c r="B29" s="128"/>
      <c r="C29" s="153"/>
      <c r="D29" s="385" t="s">
        <v>899</v>
      </c>
      <c r="E29" s="385"/>
      <c r="F29" s="385"/>
      <c r="G29" s="385"/>
      <c r="H29" s="385"/>
      <c r="I29" s="385"/>
      <c r="J29" s="386">
        <v>0</v>
      </c>
      <c r="K29" s="386"/>
      <c r="L29" s="125"/>
      <c r="M29" s="125"/>
      <c r="N29" s="125"/>
      <c r="O29" s="126"/>
      <c r="P29" s="216"/>
      <c r="Q29" s="211"/>
      <c r="R29" s="211"/>
      <c r="S29" s="211"/>
      <c r="T29" s="211"/>
      <c r="U29" s="211"/>
      <c r="V29" s="211"/>
      <c r="W29" s="211"/>
      <c r="X29" s="211"/>
      <c r="Y29" s="211"/>
      <c r="Z29" s="211"/>
      <c r="AA29" s="211"/>
      <c r="AB29" s="211"/>
      <c r="AC29" s="211"/>
      <c r="AD29" s="211"/>
      <c r="AE29" s="211"/>
      <c r="AF29" s="211"/>
      <c r="AG29" s="211"/>
      <c r="AH29" s="211"/>
      <c r="AI29" s="211"/>
      <c r="AJ29" s="211"/>
      <c r="AK29" s="211"/>
    </row>
    <row r="30" spans="1:37" ht="8.1" customHeight="1" x14ac:dyDescent="0.25">
      <c r="A30" s="91"/>
      <c r="B30" s="128"/>
      <c r="C30" s="128"/>
      <c r="D30" s="128"/>
      <c r="E30" s="124"/>
      <c r="F30" s="125"/>
      <c r="G30" s="125"/>
      <c r="H30" s="125"/>
      <c r="I30" s="125"/>
      <c r="J30" s="125"/>
      <c r="K30" s="125"/>
      <c r="L30" s="125"/>
      <c r="M30" s="125"/>
      <c r="N30" s="125"/>
      <c r="O30" s="126"/>
      <c r="P30" s="214"/>
    </row>
    <row r="31" spans="1:37" ht="18" customHeight="1" x14ac:dyDescent="0.25">
      <c r="A31" s="91"/>
      <c r="B31" s="45"/>
      <c r="C31" s="367" t="s">
        <v>852</v>
      </c>
      <c r="D31" s="368"/>
      <c r="E31" s="368"/>
      <c r="F31" s="368"/>
      <c r="G31" s="125"/>
      <c r="H31" s="125"/>
      <c r="I31" s="125"/>
      <c r="J31" s="125"/>
      <c r="K31" s="125"/>
      <c r="L31" s="125"/>
      <c r="M31" s="125"/>
      <c r="N31" s="125"/>
      <c r="O31" s="126"/>
      <c r="P31" s="214"/>
    </row>
    <row r="32" spans="1:37" ht="13.5" customHeight="1" x14ac:dyDescent="0.25">
      <c r="A32" s="91"/>
      <c r="B32" s="45"/>
      <c r="C32" s="45"/>
      <c r="D32" s="340" t="s">
        <v>814</v>
      </c>
      <c r="E32" s="340"/>
      <c r="F32" s="340"/>
      <c r="G32" s="340"/>
      <c r="H32" s="340"/>
      <c r="I32" s="340"/>
      <c r="J32" s="370">
        <v>1465</v>
      </c>
      <c r="K32" s="371"/>
      <c r="L32" s="125"/>
      <c r="M32" s="125"/>
      <c r="N32" s="125"/>
      <c r="O32" s="126"/>
      <c r="P32" s="214"/>
    </row>
    <row r="33" spans="1:37" ht="14.1" customHeight="1" x14ac:dyDescent="0.25">
      <c r="A33" s="91"/>
      <c r="B33" s="45"/>
      <c r="C33" s="45"/>
      <c r="D33" s="330" t="s">
        <v>815</v>
      </c>
      <c r="E33" s="331"/>
      <c r="F33" s="331"/>
      <c r="G33" s="331"/>
      <c r="H33" s="331"/>
      <c r="I33" s="369"/>
      <c r="J33" s="336">
        <v>391</v>
      </c>
      <c r="K33" s="337"/>
      <c r="L33" s="125"/>
      <c r="M33" s="125"/>
      <c r="N33" s="125"/>
      <c r="O33" s="126"/>
      <c r="P33" s="214"/>
    </row>
    <row r="34" spans="1:37" ht="14.1" customHeight="1" x14ac:dyDescent="0.25">
      <c r="A34" s="91"/>
      <c r="B34" s="45"/>
      <c r="C34" s="45"/>
      <c r="D34" s="341" t="s">
        <v>827</v>
      </c>
      <c r="E34" s="341"/>
      <c r="F34" s="341"/>
      <c r="G34" s="341"/>
      <c r="H34" s="341"/>
      <c r="I34" s="341"/>
      <c r="J34" s="338">
        <f>SUM(J32:K33)</f>
        <v>1856</v>
      </c>
      <c r="K34" s="339"/>
      <c r="L34" s="125"/>
      <c r="M34" s="125"/>
      <c r="N34" s="125"/>
      <c r="O34" s="126"/>
      <c r="P34" s="214"/>
    </row>
    <row r="35" spans="1:37" ht="8.1" customHeight="1" x14ac:dyDescent="0.25">
      <c r="A35" s="91"/>
      <c r="B35" s="45"/>
      <c r="C35" s="45"/>
      <c r="D35" s="45"/>
      <c r="E35" s="124"/>
      <c r="F35" s="125"/>
      <c r="G35" s="125"/>
      <c r="H35" s="125"/>
      <c r="I35" s="125"/>
      <c r="J35" s="125"/>
      <c r="K35" s="125"/>
      <c r="L35" s="125"/>
      <c r="M35" s="125"/>
      <c r="N35" s="125"/>
      <c r="O35" s="126"/>
      <c r="P35" s="214"/>
    </row>
    <row r="36" spans="1:37" ht="15.75" customHeight="1" x14ac:dyDescent="0.25">
      <c r="A36" s="91"/>
      <c r="B36" s="45"/>
      <c r="C36" s="342" t="s">
        <v>851</v>
      </c>
      <c r="D36" s="342"/>
      <c r="E36" s="342"/>
      <c r="F36" s="342"/>
      <c r="G36" s="342"/>
      <c r="H36" s="125"/>
      <c r="I36" s="125"/>
      <c r="J36" s="125"/>
      <c r="K36" s="125"/>
      <c r="L36" s="125"/>
      <c r="M36" s="125"/>
      <c r="N36" s="125"/>
      <c r="O36" s="126"/>
      <c r="P36" s="214"/>
    </row>
    <row r="37" spans="1:37" ht="14.1" customHeight="1" x14ac:dyDescent="0.25">
      <c r="A37" s="91"/>
      <c r="B37" s="45"/>
      <c r="C37" s="45"/>
      <c r="D37" s="332" t="s">
        <v>817</v>
      </c>
      <c r="E37" s="333"/>
      <c r="F37" s="333"/>
      <c r="G37" s="333"/>
      <c r="H37" s="333"/>
      <c r="I37" s="333"/>
      <c r="J37" s="290">
        <v>1178</v>
      </c>
      <c r="K37" s="291"/>
      <c r="L37" s="125"/>
      <c r="M37" s="125"/>
      <c r="N37" s="125"/>
      <c r="O37" s="126"/>
      <c r="P37" s="214"/>
    </row>
    <row r="38" spans="1:37" s="1" customFormat="1" ht="14.1" customHeight="1" x14ac:dyDescent="0.3">
      <c r="A38" s="127"/>
      <c r="B38" s="128"/>
      <c r="C38" s="128"/>
      <c r="D38" s="330" t="s">
        <v>818</v>
      </c>
      <c r="E38" s="331"/>
      <c r="F38" s="331"/>
      <c r="G38" s="331"/>
      <c r="H38" s="331"/>
      <c r="I38" s="331"/>
      <c r="J38" s="288">
        <v>187</v>
      </c>
      <c r="K38" s="289"/>
      <c r="L38" s="125"/>
      <c r="M38" s="125"/>
      <c r="N38" s="125"/>
      <c r="O38" s="126"/>
      <c r="P38" s="216"/>
      <c r="Q38" s="211"/>
      <c r="R38" s="211"/>
      <c r="S38" s="211"/>
      <c r="T38" s="211"/>
      <c r="U38" s="211"/>
      <c r="V38" s="211"/>
      <c r="W38" s="211"/>
      <c r="X38" s="211"/>
      <c r="Y38" s="211"/>
      <c r="Z38" s="211"/>
      <c r="AA38" s="211"/>
      <c r="AB38" s="211"/>
      <c r="AC38" s="211"/>
      <c r="AD38" s="211"/>
      <c r="AE38" s="211"/>
      <c r="AF38" s="211"/>
      <c r="AG38" s="211"/>
      <c r="AH38" s="211"/>
      <c r="AI38" s="211"/>
      <c r="AJ38" s="211"/>
      <c r="AK38" s="211"/>
    </row>
    <row r="39" spans="1:37" ht="14.1" customHeight="1" x14ac:dyDescent="0.25">
      <c r="A39" s="91"/>
      <c r="B39" s="136"/>
      <c r="C39" s="128"/>
      <c r="D39" s="332" t="s">
        <v>819</v>
      </c>
      <c r="E39" s="333"/>
      <c r="F39" s="333"/>
      <c r="G39" s="333"/>
      <c r="H39" s="333"/>
      <c r="I39" s="333"/>
      <c r="J39" s="290">
        <v>392</v>
      </c>
      <c r="K39" s="291"/>
      <c r="L39" s="125"/>
      <c r="M39" s="125"/>
      <c r="N39" s="125"/>
      <c r="O39" s="126"/>
      <c r="P39" s="214"/>
    </row>
    <row r="40" spans="1:37" ht="14.1" customHeight="1" x14ac:dyDescent="0.25">
      <c r="A40" s="91"/>
      <c r="B40" s="136"/>
      <c r="C40" s="128"/>
      <c r="D40" s="334" t="s">
        <v>820</v>
      </c>
      <c r="E40" s="335"/>
      <c r="F40" s="335"/>
      <c r="G40" s="335"/>
      <c r="H40" s="335"/>
      <c r="I40" s="335"/>
      <c r="J40" s="288">
        <v>55</v>
      </c>
      <c r="K40" s="289"/>
      <c r="L40" s="125"/>
      <c r="M40" s="125"/>
      <c r="N40" s="125"/>
      <c r="O40" s="126"/>
      <c r="P40" s="214"/>
    </row>
    <row r="41" spans="1:37" ht="14.1" customHeight="1" x14ac:dyDescent="0.25">
      <c r="A41" s="91"/>
      <c r="B41" s="136"/>
      <c r="C41" s="128"/>
      <c r="D41" s="332" t="s">
        <v>821</v>
      </c>
      <c r="E41" s="333"/>
      <c r="F41" s="333"/>
      <c r="G41" s="333"/>
      <c r="H41" s="333"/>
      <c r="I41" s="333"/>
      <c r="J41" s="290">
        <v>0</v>
      </c>
      <c r="K41" s="291"/>
      <c r="L41" s="125"/>
      <c r="M41" s="125"/>
      <c r="N41" s="125"/>
      <c r="O41" s="126"/>
      <c r="P41" s="214"/>
    </row>
    <row r="42" spans="1:37" s="1" customFormat="1" ht="14.1" customHeight="1" x14ac:dyDescent="0.25">
      <c r="A42" s="102"/>
      <c r="B42" s="136"/>
      <c r="C42" s="128"/>
      <c r="D42" s="330" t="s">
        <v>822</v>
      </c>
      <c r="E42" s="331"/>
      <c r="F42" s="331"/>
      <c r="G42" s="331"/>
      <c r="H42" s="331"/>
      <c r="I42" s="331"/>
      <c r="J42" s="288">
        <v>10</v>
      </c>
      <c r="K42" s="289"/>
      <c r="L42" s="125"/>
      <c r="M42" s="125"/>
      <c r="N42" s="125"/>
      <c r="O42" s="126"/>
      <c r="P42" s="216"/>
      <c r="Q42" s="211"/>
      <c r="R42" s="211"/>
      <c r="S42" s="211"/>
      <c r="T42" s="211"/>
      <c r="U42" s="211"/>
      <c r="V42" s="211"/>
      <c r="W42" s="211"/>
      <c r="X42" s="211"/>
      <c r="Y42" s="211"/>
      <c r="Z42" s="211"/>
      <c r="AA42" s="211"/>
      <c r="AB42" s="211"/>
      <c r="AC42" s="211"/>
      <c r="AD42" s="211"/>
      <c r="AE42" s="211"/>
      <c r="AF42" s="211"/>
      <c r="AG42" s="211"/>
      <c r="AH42" s="211"/>
      <c r="AI42" s="211"/>
      <c r="AJ42" s="211"/>
      <c r="AK42" s="211"/>
    </row>
    <row r="43" spans="1:37" ht="14.1" customHeight="1" x14ac:dyDescent="0.25">
      <c r="A43" s="91"/>
      <c r="B43" s="136"/>
      <c r="C43" s="128"/>
      <c r="D43" s="332" t="s">
        <v>823</v>
      </c>
      <c r="E43" s="333"/>
      <c r="F43" s="333"/>
      <c r="G43" s="333"/>
      <c r="H43" s="333"/>
      <c r="I43" s="333"/>
      <c r="J43" s="290">
        <v>34</v>
      </c>
      <c r="K43" s="291"/>
      <c r="L43" s="125"/>
      <c r="M43" s="125"/>
      <c r="N43" s="125"/>
      <c r="O43" s="126"/>
      <c r="P43" s="214"/>
    </row>
    <row r="44" spans="1:37" ht="14.1" customHeight="1" x14ac:dyDescent="0.25">
      <c r="A44" s="91"/>
      <c r="B44" s="128"/>
      <c r="C44" s="128"/>
      <c r="D44" s="328" t="s">
        <v>827</v>
      </c>
      <c r="E44" s="329"/>
      <c r="F44" s="329"/>
      <c r="G44" s="329"/>
      <c r="H44" s="329"/>
      <c r="I44" s="329"/>
      <c r="J44" s="292">
        <f>SUM(J37:K43)</f>
        <v>1856</v>
      </c>
      <c r="K44" s="293"/>
      <c r="L44" s="125"/>
      <c r="M44" s="125"/>
      <c r="N44" s="125"/>
      <c r="O44" s="126"/>
      <c r="P44" s="214"/>
    </row>
    <row r="45" spans="1:37" ht="6.75" customHeight="1" x14ac:dyDescent="0.25">
      <c r="A45" s="58"/>
      <c r="B45" s="144"/>
      <c r="C45" s="155"/>
      <c r="D45" s="155"/>
      <c r="E45" s="156"/>
      <c r="F45" s="156"/>
      <c r="G45" s="181"/>
      <c r="H45" s="181"/>
      <c r="I45" s="181"/>
      <c r="J45" s="181"/>
      <c r="K45" s="181"/>
      <c r="L45" s="181"/>
      <c r="M45" s="181"/>
      <c r="N45" s="181"/>
      <c r="O45" s="182"/>
      <c r="P45" s="214"/>
    </row>
    <row r="46" spans="1:37" ht="8.1" customHeight="1" x14ac:dyDescent="0.25">
      <c r="A46" s="45"/>
      <c r="B46" s="128"/>
      <c r="C46" s="153"/>
      <c r="D46" s="153"/>
      <c r="E46" s="154"/>
      <c r="F46" s="154"/>
      <c r="G46" s="125"/>
      <c r="H46" s="125"/>
      <c r="I46" s="125"/>
      <c r="J46" s="125"/>
      <c r="K46" s="125"/>
      <c r="L46" s="125"/>
      <c r="M46" s="125"/>
      <c r="N46" s="125"/>
      <c r="O46" s="125"/>
      <c r="P46" s="214"/>
    </row>
    <row r="47" spans="1:37" ht="14.1" customHeight="1" x14ac:dyDescent="0.25">
      <c r="A47" s="189" t="s">
        <v>888</v>
      </c>
    </row>
    <row r="48" spans="1:37" ht="14.1" customHeight="1" x14ac:dyDescent="0.25">
      <c r="A48" s="300"/>
      <c r="B48" s="301"/>
      <c r="C48" s="301"/>
      <c r="D48" s="301"/>
      <c r="E48" s="301"/>
      <c r="F48" s="301"/>
      <c r="G48" s="301"/>
      <c r="H48" s="301"/>
      <c r="I48" s="301"/>
      <c r="J48" s="301"/>
      <c r="K48" s="301"/>
      <c r="L48" s="301"/>
      <c r="M48" s="301"/>
      <c r="N48" s="301"/>
      <c r="O48" s="302"/>
    </row>
    <row r="49" spans="1:37" ht="14.1" customHeight="1" x14ac:dyDescent="0.25">
      <c r="A49" s="303"/>
      <c r="B49" s="304"/>
      <c r="C49" s="304"/>
      <c r="D49" s="304"/>
      <c r="E49" s="304"/>
      <c r="F49" s="304"/>
      <c r="G49" s="304"/>
      <c r="H49" s="304"/>
      <c r="I49" s="304"/>
      <c r="J49" s="304"/>
      <c r="K49" s="304"/>
      <c r="L49" s="304"/>
      <c r="M49" s="304"/>
      <c r="N49" s="304"/>
      <c r="O49" s="305"/>
    </row>
    <row r="50" spans="1:37" ht="14.1" customHeight="1" x14ac:dyDescent="0.25">
      <c r="A50" s="303"/>
      <c r="B50" s="304"/>
      <c r="C50" s="304"/>
      <c r="D50" s="304"/>
      <c r="E50" s="304"/>
      <c r="F50" s="304"/>
      <c r="G50" s="304"/>
      <c r="H50" s="304"/>
      <c r="I50" s="304"/>
      <c r="J50" s="304"/>
      <c r="K50" s="304"/>
      <c r="L50" s="304"/>
      <c r="M50" s="304"/>
      <c r="N50" s="304"/>
      <c r="O50" s="305"/>
    </row>
    <row r="51" spans="1:37" ht="14.1" customHeight="1" x14ac:dyDescent="0.25">
      <c r="A51" s="303"/>
      <c r="B51" s="304"/>
      <c r="C51" s="304"/>
      <c r="D51" s="304"/>
      <c r="E51" s="304"/>
      <c r="F51" s="304"/>
      <c r="G51" s="304"/>
      <c r="H51" s="304"/>
      <c r="I51" s="304"/>
      <c r="J51" s="304"/>
      <c r="K51" s="304"/>
      <c r="L51" s="304"/>
      <c r="M51" s="304"/>
      <c r="N51" s="304"/>
      <c r="O51" s="305"/>
    </row>
    <row r="52" spans="1:37" ht="7.5" customHeight="1" x14ac:dyDescent="0.25">
      <c r="A52" s="303"/>
      <c r="B52" s="304"/>
      <c r="C52" s="304"/>
      <c r="D52" s="304"/>
      <c r="E52" s="304"/>
      <c r="F52" s="304"/>
      <c r="G52" s="304"/>
      <c r="H52" s="304"/>
      <c r="I52" s="304"/>
      <c r="J52" s="304"/>
      <c r="K52" s="304"/>
      <c r="L52" s="304"/>
      <c r="M52" s="304"/>
      <c r="N52" s="304"/>
      <c r="O52" s="305"/>
    </row>
    <row r="53" spans="1:37" ht="7.5" customHeight="1" x14ac:dyDescent="0.25">
      <c r="A53" s="303"/>
      <c r="B53" s="304"/>
      <c r="C53" s="304"/>
      <c r="D53" s="304"/>
      <c r="E53" s="304"/>
      <c r="F53" s="304"/>
      <c r="G53" s="304"/>
      <c r="H53" s="304"/>
      <c r="I53" s="304"/>
      <c r="J53" s="304"/>
      <c r="K53" s="304"/>
      <c r="L53" s="304"/>
      <c r="M53" s="304"/>
      <c r="N53" s="304"/>
      <c r="O53" s="305"/>
    </row>
    <row r="54" spans="1:37" ht="7.5" customHeight="1" x14ac:dyDescent="0.25">
      <c r="A54" s="306"/>
      <c r="B54" s="307"/>
      <c r="C54" s="307"/>
      <c r="D54" s="307"/>
      <c r="E54" s="307"/>
      <c r="F54" s="307"/>
      <c r="G54" s="307"/>
      <c r="H54" s="307"/>
      <c r="I54" s="307"/>
      <c r="J54" s="307"/>
      <c r="K54" s="307"/>
      <c r="L54" s="307"/>
      <c r="M54" s="307"/>
      <c r="N54" s="307"/>
      <c r="O54" s="308"/>
    </row>
    <row r="55" spans="1:37" ht="7.5" customHeight="1" x14ac:dyDescent="0.25">
      <c r="A55" s="217"/>
      <c r="B55" s="217"/>
      <c r="C55" s="217"/>
      <c r="D55" s="217"/>
      <c r="E55" s="217"/>
      <c r="F55" s="217"/>
      <c r="G55" s="217"/>
      <c r="H55" s="217"/>
      <c r="I55" s="217"/>
      <c r="J55" s="217"/>
      <c r="K55" s="217"/>
      <c r="L55" s="217"/>
      <c r="M55" s="217"/>
      <c r="N55" s="217"/>
      <c r="O55" s="217"/>
    </row>
    <row r="56" spans="1:37" s="196" customFormat="1" ht="18.600000000000001" customHeight="1" x14ac:dyDescent="0.3">
      <c r="A56" s="190" t="s">
        <v>901</v>
      </c>
      <c r="B56" s="191"/>
      <c r="C56" s="191"/>
      <c r="D56" s="191"/>
      <c r="E56" s="191"/>
      <c r="F56" s="192"/>
      <c r="G56" s="191"/>
      <c r="H56" s="191"/>
      <c r="I56" s="191"/>
      <c r="J56" s="191"/>
      <c r="K56" s="193"/>
      <c r="L56" s="194"/>
      <c r="M56" s="194"/>
      <c r="N56" s="195"/>
      <c r="O56" s="195"/>
      <c r="P56" s="218"/>
      <c r="Q56" s="218"/>
      <c r="R56" s="218"/>
      <c r="S56" s="218"/>
      <c r="T56" s="218"/>
      <c r="U56" s="218"/>
      <c r="V56" s="218"/>
      <c r="W56" s="218"/>
      <c r="X56" s="218"/>
      <c r="Y56" s="218"/>
      <c r="Z56" s="218"/>
      <c r="AA56" s="218"/>
      <c r="AB56" s="218"/>
      <c r="AC56" s="218"/>
      <c r="AD56" s="218"/>
      <c r="AE56" s="218"/>
      <c r="AF56" s="218"/>
      <c r="AG56" s="218"/>
      <c r="AH56" s="218"/>
      <c r="AI56" s="218"/>
      <c r="AJ56" s="218"/>
      <c r="AK56" s="218"/>
    </row>
    <row r="57" spans="1:37" ht="11.1" customHeight="1" x14ac:dyDescent="0.25"/>
  </sheetData>
  <sheetProtection selectLockedCells="1"/>
  <mergeCells count="67">
    <mergeCell ref="D29:I29"/>
    <mergeCell ref="J29:K29"/>
    <mergeCell ref="D24:I24"/>
    <mergeCell ref="J24:K24"/>
    <mergeCell ref="D25:I25"/>
    <mergeCell ref="J25:K25"/>
    <mergeCell ref="D26:I26"/>
    <mergeCell ref="J26:K26"/>
    <mergeCell ref="D22:I22"/>
    <mergeCell ref="J22:K22"/>
    <mergeCell ref="D23:I23"/>
    <mergeCell ref="J23:K23"/>
    <mergeCell ref="C28:G28"/>
    <mergeCell ref="J19:K19"/>
    <mergeCell ref="D20:I20"/>
    <mergeCell ref="J20:K20"/>
    <mergeCell ref="D21:I21"/>
    <mergeCell ref="J21:K21"/>
    <mergeCell ref="C31:F31"/>
    <mergeCell ref="D33:I33"/>
    <mergeCell ref="J32:K32"/>
    <mergeCell ref="C11:G11"/>
    <mergeCell ref="D12:I12"/>
    <mergeCell ref="J12:K12"/>
    <mergeCell ref="D13:I13"/>
    <mergeCell ref="J13:K13"/>
    <mergeCell ref="D14:I14"/>
    <mergeCell ref="J14:K14"/>
    <mergeCell ref="D15:I15"/>
    <mergeCell ref="J15:K15"/>
    <mergeCell ref="D16:I16"/>
    <mergeCell ref="J16:K16"/>
    <mergeCell ref="C18:G18"/>
    <mergeCell ref="D19:I19"/>
    <mergeCell ref="D8:I8"/>
    <mergeCell ref="D9:I9"/>
    <mergeCell ref="J7:K7"/>
    <mergeCell ref="J8:K8"/>
    <mergeCell ref="J9:K9"/>
    <mergeCell ref="D7:I7"/>
    <mergeCell ref="A4:O4"/>
    <mergeCell ref="A3:O3"/>
    <mergeCell ref="K1:O1"/>
    <mergeCell ref="A1:J1"/>
    <mergeCell ref="C6:L6"/>
    <mergeCell ref="J33:K33"/>
    <mergeCell ref="J34:K34"/>
    <mergeCell ref="D32:I32"/>
    <mergeCell ref="D34:I34"/>
    <mergeCell ref="C36:G36"/>
    <mergeCell ref="D37:I37"/>
    <mergeCell ref="D38:I38"/>
    <mergeCell ref="D40:I40"/>
    <mergeCell ref="D39:I39"/>
    <mergeCell ref="D41:I41"/>
    <mergeCell ref="J37:K37"/>
    <mergeCell ref="J38:K38"/>
    <mergeCell ref="J39:K39"/>
    <mergeCell ref="J40:K40"/>
    <mergeCell ref="J41:K41"/>
    <mergeCell ref="A48:O54"/>
    <mergeCell ref="J44:K44"/>
    <mergeCell ref="D44:I44"/>
    <mergeCell ref="D42:I42"/>
    <mergeCell ref="D43:I43"/>
    <mergeCell ref="J42:K42"/>
    <mergeCell ref="J43:K43"/>
  </mergeCells>
  <dataValidations xWindow="717" yWindow="479" count="1">
    <dataValidation allowBlank="1" showInputMessage="1" showErrorMessage="1" promptTitle="INSTRUCTIONS:" prompt="1)  DO NOT EXCEED the space provided as it will not appear when cursor is outside the box or when page is printed._x000a_2)  Press ALT and ENTER to start a new paragraph._x000a_3)  For Spell Check go to REVIEW and click on &quot;ABC Spelling.&quot;" sqref="A48:O54" xr:uid="{00000000-0002-0000-0200-000000000000}"/>
  </dataValidations>
  <printOptions horizontalCentered="1"/>
  <pageMargins left="0.2" right="0.2" top="0.25" bottom="0.25" header="0.3" footer="0.15"/>
  <pageSetup orientation="portrait" r:id="rId1"/>
  <headerFooter>
    <oddFooter>&amp;L&amp;7&amp;Z&amp;F
Report 3 Tab</oddFooter>
  </headerFooter>
  <rowBreaks count="1" manualBreakCount="1">
    <brk id="5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U50"/>
  <sheetViews>
    <sheetView showGridLines="0" zoomScaleNormal="100" workbookViewId="0">
      <pane ySplit="5" topLeftCell="A6" activePane="bottomLeft" state="frozen"/>
      <selection pane="bottomLeft" activeCell="H13" sqref="H13"/>
    </sheetView>
  </sheetViews>
  <sheetFormatPr defaultRowHeight="13.2" x14ac:dyDescent="0.25"/>
  <cols>
    <col min="1" max="1" width="10.21875" style="39" customWidth="1"/>
    <col min="2" max="8" width="8.77734375" style="39"/>
    <col min="9" max="9" width="11" style="39" customWidth="1"/>
    <col min="10" max="21" width="8.77734375" style="39"/>
  </cols>
  <sheetData>
    <row r="1" spans="1:21" ht="15.6" x14ac:dyDescent="0.25">
      <c r="A1" s="390" t="s">
        <v>843</v>
      </c>
      <c r="B1" s="391"/>
      <c r="C1" s="391"/>
      <c r="D1" s="391"/>
      <c r="E1" s="391"/>
      <c r="F1" s="391"/>
      <c r="G1" s="316" t="str">
        <f>'CONTACT INFORMATION'!$A$24</f>
        <v>Fresno</v>
      </c>
      <c r="H1" s="316"/>
      <c r="I1" s="317"/>
    </row>
    <row r="2" spans="1:21" s="1" customFormat="1" ht="14.1" customHeight="1" x14ac:dyDescent="0.25">
      <c r="A2" s="168"/>
      <c r="B2" s="168"/>
      <c r="C2" s="168"/>
      <c r="D2" s="168"/>
      <c r="E2" s="168"/>
      <c r="F2" s="168"/>
      <c r="G2" s="169"/>
      <c r="H2" s="169"/>
      <c r="I2" s="169"/>
      <c r="J2" s="211"/>
      <c r="K2" s="211"/>
      <c r="L2" s="211"/>
      <c r="M2" s="211"/>
      <c r="N2" s="211"/>
      <c r="O2" s="211"/>
      <c r="P2" s="211"/>
      <c r="Q2" s="211"/>
      <c r="R2" s="211"/>
      <c r="S2" s="211"/>
      <c r="T2" s="211"/>
      <c r="U2" s="211"/>
    </row>
    <row r="3" spans="1:21" s="170" customFormat="1" ht="13.8" x14ac:dyDescent="0.25">
      <c r="A3" s="346" t="s">
        <v>923</v>
      </c>
      <c r="B3" s="347"/>
      <c r="C3" s="347"/>
      <c r="D3" s="347"/>
      <c r="E3" s="347"/>
      <c r="F3" s="347"/>
      <c r="G3" s="347"/>
      <c r="H3" s="347"/>
      <c r="I3" s="348"/>
      <c r="J3" s="219"/>
      <c r="K3" s="219"/>
      <c r="L3" s="219"/>
      <c r="M3" s="219"/>
      <c r="N3" s="219"/>
      <c r="O3" s="219"/>
      <c r="P3" s="219"/>
      <c r="Q3" s="219"/>
      <c r="R3" s="219"/>
      <c r="S3" s="219"/>
      <c r="T3" s="219"/>
      <c r="U3" s="219"/>
    </row>
    <row r="4" spans="1:21" s="170" customFormat="1" ht="13.8" x14ac:dyDescent="0.25">
      <c r="A4" s="398" t="s">
        <v>883</v>
      </c>
      <c r="B4" s="399"/>
      <c r="C4" s="399"/>
      <c r="D4" s="399"/>
      <c r="E4" s="399"/>
      <c r="F4" s="399"/>
      <c r="G4" s="399"/>
      <c r="H4" s="399"/>
      <c r="I4" s="400"/>
      <c r="J4" s="219"/>
      <c r="K4" s="219"/>
      <c r="L4" s="219"/>
      <c r="M4" s="219"/>
      <c r="N4" s="219"/>
      <c r="O4" s="219"/>
      <c r="P4" s="219"/>
      <c r="Q4" s="219"/>
      <c r="R4" s="219"/>
      <c r="S4" s="219"/>
      <c r="T4" s="219"/>
      <c r="U4" s="219"/>
    </row>
    <row r="5" spans="1:21" s="199" customFormat="1" ht="21" customHeight="1" x14ac:dyDescent="0.25">
      <c r="A5" s="401" t="s">
        <v>926</v>
      </c>
      <c r="B5" s="402"/>
      <c r="C5" s="402"/>
      <c r="D5" s="402"/>
      <c r="E5" s="402"/>
      <c r="F5" s="402"/>
      <c r="G5" s="402"/>
      <c r="H5" s="402"/>
      <c r="I5" s="403"/>
      <c r="J5" s="220"/>
      <c r="K5" s="220"/>
      <c r="L5" s="220"/>
      <c r="M5" s="220"/>
      <c r="N5" s="220"/>
      <c r="O5" s="220"/>
      <c r="P5" s="220"/>
      <c r="Q5" s="220"/>
      <c r="R5" s="220"/>
      <c r="S5" s="220"/>
      <c r="T5" s="220"/>
      <c r="U5" s="220"/>
    </row>
    <row r="6" spans="1:21" s="4" customFormat="1" ht="13.8" x14ac:dyDescent="0.25">
      <c r="A6" s="165"/>
      <c r="B6" s="177"/>
      <c r="C6" s="160"/>
      <c r="D6" s="160"/>
      <c r="E6" s="160"/>
      <c r="F6" s="160"/>
      <c r="G6" s="180"/>
      <c r="H6" s="180"/>
      <c r="I6" s="183"/>
      <c r="J6" s="45"/>
      <c r="K6" s="45"/>
      <c r="L6" s="45"/>
      <c r="M6" s="45"/>
      <c r="N6" s="45"/>
      <c r="O6" s="45"/>
      <c r="P6" s="45"/>
      <c r="Q6" s="45"/>
      <c r="R6" s="45"/>
      <c r="S6" s="45"/>
      <c r="T6" s="45"/>
      <c r="U6" s="45"/>
    </row>
    <row r="7" spans="1:21" s="4" customFormat="1" ht="13.8" x14ac:dyDescent="0.25">
      <c r="A7" s="165"/>
      <c r="B7" s="177"/>
      <c r="C7" s="160"/>
      <c r="D7" s="160"/>
      <c r="E7" s="160"/>
      <c r="F7" s="160"/>
      <c r="G7" s="180"/>
      <c r="H7" s="180"/>
      <c r="I7" s="183"/>
      <c r="J7" s="45"/>
      <c r="K7" s="45"/>
      <c r="L7" s="45"/>
      <c r="M7" s="45"/>
      <c r="N7" s="45"/>
      <c r="O7" s="45"/>
      <c r="P7" s="45"/>
      <c r="Q7" s="45"/>
      <c r="R7" s="45"/>
      <c r="S7" s="45"/>
      <c r="T7" s="45"/>
      <c r="U7" s="45"/>
    </row>
    <row r="8" spans="1:21" ht="13.8" x14ac:dyDescent="0.25">
      <c r="A8" s="165"/>
      <c r="B8" s="404" t="s">
        <v>870</v>
      </c>
      <c r="C8" s="404"/>
      <c r="D8" s="184"/>
      <c r="E8" s="405"/>
      <c r="F8" s="405"/>
      <c r="G8" s="405"/>
      <c r="H8" s="180"/>
      <c r="I8" s="183"/>
    </row>
    <row r="9" spans="1:21" ht="13.8" x14ac:dyDescent="0.25">
      <c r="A9" s="165"/>
      <c r="B9" s="206"/>
      <c r="C9" s="396" t="s">
        <v>871</v>
      </c>
      <c r="D9" s="396"/>
      <c r="E9" s="396"/>
      <c r="F9" s="396"/>
      <c r="G9" s="386">
        <v>7814</v>
      </c>
      <c r="H9" s="386"/>
      <c r="I9" s="183"/>
    </row>
    <row r="10" spans="1:21" ht="13.8" x14ac:dyDescent="0.25">
      <c r="A10" s="165"/>
      <c r="B10" s="206"/>
      <c r="C10" s="397" t="s">
        <v>872</v>
      </c>
      <c r="D10" s="397"/>
      <c r="E10" s="397"/>
      <c r="F10" s="397"/>
      <c r="G10" s="395">
        <v>23679</v>
      </c>
      <c r="H10" s="395"/>
      <c r="I10" s="183"/>
    </row>
    <row r="11" spans="1:21" ht="13.8" x14ac:dyDescent="0.25">
      <c r="A11" s="165"/>
      <c r="B11" s="206"/>
      <c r="C11" s="396" t="s">
        <v>873</v>
      </c>
      <c r="D11" s="396"/>
      <c r="E11" s="396"/>
      <c r="F11" s="396"/>
      <c r="G11" s="386">
        <v>47</v>
      </c>
      <c r="H11" s="386"/>
      <c r="I11" s="183"/>
    </row>
    <row r="12" spans="1:21" ht="14.4" x14ac:dyDescent="0.3">
      <c r="A12" s="165"/>
      <c r="B12" s="177"/>
      <c r="C12" s="298" t="s">
        <v>827</v>
      </c>
      <c r="D12" s="298"/>
      <c r="E12" s="298"/>
      <c r="F12" s="298"/>
      <c r="G12" s="392">
        <f>SUM(G9:H11)</f>
        <v>31540</v>
      </c>
      <c r="H12" s="392"/>
      <c r="I12" s="183"/>
    </row>
    <row r="13" spans="1:21" ht="13.8" x14ac:dyDescent="0.25">
      <c r="A13" s="165"/>
      <c r="B13" s="177"/>
      <c r="C13" s="160"/>
      <c r="D13" s="160"/>
      <c r="E13" s="160"/>
      <c r="F13" s="160"/>
      <c r="G13" s="180"/>
      <c r="H13" s="180"/>
      <c r="I13" s="183"/>
    </row>
    <row r="14" spans="1:21" ht="13.8" x14ac:dyDescent="0.25">
      <c r="A14" s="91"/>
      <c r="B14" s="45"/>
      <c r="C14" s="137"/>
      <c r="D14" s="137"/>
      <c r="E14" s="137"/>
      <c r="F14" s="137"/>
      <c r="G14" s="97"/>
      <c r="H14" s="97"/>
      <c r="I14" s="98"/>
    </row>
    <row r="15" spans="1:21" ht="13.8" x14ac:dyDescent="0.25">
      <c r="A15" s="166"/>
      <c r="B15" s="393" t="s">
        <v>874</v>
      </c>
      <c r="C15" s="393"/>
      <c r="D15" s="393"/>
      <c r="E15" s="393"/>
      <c r="F15" s="393"/>
      <c r="G15" s="393"/>
      <c r="H15" s="393"/>
      <c r="I15" s="394"/>
    </row>
    <row r="16" spans="1:21" ht="13.8" x14ac:dyDescent="0.25">
      <c r="A16" s="102"/>
      <c r="B16" s="128"/>
      <c r="C16" s="297" t="s">
        <v>814</v>
      </c>
      <c r="D16" s="297"/>
      <c r="E16" s="297"/>
      <c r="F16" s="297"/>
      <c r="G16" s="386">
        <v>24199</v>
      </c>
      <c r="H16" s="386"/>
      <c r="I16" s="98"/>
    </row>
    <row r="17" spans="1:9" ht="13.8" x14ac:dyDescent="0.25">
      <c r="A17" s="102"/>
      <c r="B17" s="128"/>
      <c r="C17" s="296" t="s">
        <v>815</v>
      </c>
      <c r="D17" s="296"/>
      <c r="E17" s="296"/>
      <c r="F17" s="296"/>
      <c r="G17" s="395">
        <v>7341</v>
      </c>
      <c r="H17" s="395"/>
      <c r="I17" s="98"/>
    </row>
    <row r="18" spans="1:9" ht="14.4" x14ac:dyDescent="0.3">
      <c r="A18" s="102"/>
      <c r="B18" s="128"/>
      <c r="C18" s="298" t="s">
        <v>827</v>
      </c>
      <c r="D18" s="298"/>
      <c r="E18" s="298"/>
      <c r="F18" s="298"/>
      <c r="G18" s="406">
        <f>SUM(G16:H17)</f>
        <v>31540</v>
      </c>
      <c r="H18" s="406"/>
      <c r="I18" s="98"/>
    </row>
    <row r="19" spans="1:9" ht="14.4" x14ac:dyDescent="0.3">
      <c r="A19" s="102"/>
      <c r="B19" s="128"/>
      <c r="C19" s="164"/>
      <c r="D19" s="164"/>
      <c r="E19" s="164"/>
      <c r="F19" s="164"/>
      <c r="G19" s="125"/>
      <c r="H19" s="125"/>
      <c r="I19" s="98"/>
    </row>
    <row r="20" spans="1:9" x14ac:dyDescent="0.25">
      <c r="A20" s="91"/>
      <c r="B20" s="45"/>
      <c r="C20" s="97"/>
      <c r="D20" s="97"/>
      <c r="E20" s="97"/>
      <c r="F20" s="97"/>
      <c r="G20" s="97"/>
      <c r="H20" s="97"/>
      <c r="I20" s="98"/>
    </row>
    <row r="21" spans="1:9" ht="13.8" x14ac:dyDescent="0.25">
      <c r="A21" s="166"/>
      <c r="B21" s="204" t="s">
        <v>850</v>
      </c>
      <c r="C21" s="204"/>
      <c r="D21" s="204"/>
      <c r="E21" s="204"/>
      <c r="F21" s="204"/>
      <c r="G21" s="204"/>
      <c r="H21" s="204"/>
      <c r="I21" s="167"/>
    </row>
    <row r="22" spans="1:9" ht="13.8" x14ac:dyDescent="0.25">
      <c r="A22" s="102"/>
      <c r="B22" s="128"/>
      <c r="C22" s="297" t="s">
        <v>819</v>
      </c>
      <c r="D22" s="297"/>
      <c r="E22" s="297"/>
      <c r="F22" s="297"/>
      <c r="G22" s="386">
        <v>3887</v>
      </c>
      <c r="H22" s="386"/>
      <c r="I22" s="98"/>
    </row>
    <row r="23" spans="1:9" ht="13.8" x14ac:dyDescent="0.25">
      <c r="A23" s="102"/>
      <c r="B23" s="128"/>
      <c r="C23" s="296" t="s">
        <v>818</v>
      </c>
      <c r="D23" s="296"/>
      <c r="E23" s="296"/>
      <c r="F23" s="296"/>
      <c r="G23" s="407">
        <v>7356</v>
      </c>
      <c r="H23" s="407"/>
      <c r="I23" s="98"/>
    </row>
    <row r="24" spans="1:9" ht="13.8" x14ac:dyDescent="0.25">
      <c r="A24" s="102"/>
      <c r="B24" s="128"/>
      <c r="C24" s="297" t="s">
        <v>817</v>
      </c>
      <c r="D24" s="297"/>
      <c r="E24" s="297"/>
      <c r="F24" s="297"/>
      <c r="G24" s="386">
        <v>18513</v>
      </c>
      <c r="H24" s="386"/>
      <c r="I24" s="98"/>
    </row>
    <row r="25" spans="1:9" ht="13.8" x14ac:dyDescent="0.25">
      <c r="A25" s="102"/>
      <c r="B25" s="128"/>
      <c r="C25" s="312" t="s">
        <v>512</v>
      </c>
      <c r="D25" s="312"/>
      <c r="E25" s="312"/>
      <c r="F25" s="312"/>
      <c r="G25" s="395">
        <v>1784</v>
      </c>
      <c r="H25" s="395"/>
      <c r="I25" s="98"/>
    </row>
    <row r="26" spans="1:9" ht="14.4" x14ac:dyDescent="0.3">
      <c r="A26" s="102"/>
      <c r="B26" s="128"/>
      <c r="C26" s="298" t="s">
        <v>827</v>
      </c>
      <c r="D26" s="298"/>
      <c r="E26" s="298"/>
      <c r="F26" s="298"/>
      <c r="G26" s="406">
        <f>SUM(G22:H25)</f>
        <v>31540</v>
      </c>
      <c r="H26" s="406"/>
      <c r="I26" s="140"/>
    </row>
    <row r="27" spans="1:9" x14ac:dyDescent="0.25">
      <c r="A27" s="102"/>
      <c r="B27" s="128"/>
      <c r="C27" s="128"/>
      <c r="D27" s="141"/>
      <c r="E27" s="141"/>
      <c r="F27" s="141"/>
      <c r="G27" s="141"/>
      <c r="H27" s="141"/>
      <c r="I27" s="142"/>
    </row>
    <row r="28" spans="1:9" x14ac:dyDescent="0.25">
      <c r="A28" s="102"/>
      <c r="B28" s="128"/>
      <c r="C28" s="128"/>
      <c r="D28" s="141"/>
      <c r="E28" s="141"/>
      <c r="F28" s="141"/>
      <c r="G28" s="141"/>
      <c r="H28" s="141"/>
      <c r="I28" s="142"/>
    </row>
    <row r="29" spans="1:9" x14ac:dyDescent="0.25">
      <c r="A29" s="103"/>
      <c r="B29" s="144"/>
      <c r="C29" s="144"/>
      <c r="D29" s="145"/>
      <c r="E29" s="145"/>
      <c r="F29" s="145"/>
      <c r="G29" s="145"/>
      <c r="H29" s="145"/>
      <c r="I29" s="146"/>
    </row>
    <row r="30" spans="1:9" x14ac:dyDescent="0.25">
      <c r="A30" s="128"/>
      <c r="B30" s="128"/>
      <c r="C30" s="128"/>
      <c r="D30" s="141"/>
      <c r="E30" s="141"/>
      <c r="F30" s="141"/>
      <c r="G30" s="141"/>
      <c r="H30" s="141"/>
      <c r="I30" s="141"/>
    </row>
    <row r="31" spans="1:9" ht="14.7" customHeight="1" x14ac:dyDescent="0.25"/>
    <row r="32" spans="1:9" ht="14.1" customHeight="1" x14ac:dyDescent="0.25">
      <c r="A32" s="189" t="s">
        <v>888</v>
      </c>
    </row>
    <row r="33" spans="1:9" x14ac:dyDescent="0.25">
      <c r="A33" s="300"/>
      <c r="B33" s="301"/>
      <c r="C33" s="301"/>
      <c r="D33" s="301"/>
      <c r="E33" s="301"/>
      <c r="F33" s="301"/>
      <c r="G33" s="301"/>
      <c r="H33" s="301"/>
      <c r="I33" s="302"/>
    </row>
    <row r="34" spans="1:9" x14ac:dyDescent="0.25">
      <c r="A34" s="303"/>
      <c r="B34" s="304"/>
      <c r="C34" s="304"/>
      <c r="D34" s="304"/>
      <c r="E34" s="304"/>
      <c r="F34" s="304"/>
      <c r="G34" s="304"/>
      <c r="H34" s="304"/>
      <c r="I34" s="305"/>
    </row>
    <row r="35" spans="1:9" x14ac:dyDescent="0.25">
      <c r="A35" s="303"/>
      <c r="B35" s="304"/>
      <c r="C35" s="304"/>
      <c r="D35" s="304"/>
      <c r="E35" s="304"/>
      <c r="F35" s="304"/>
      <c r="G35" s="304"/>
      <c r="H35" s="304"/>
      <c r="I35" s="305"/>
    </row>
    <row r="36" spans="1:9" x14ac:dyDescent="0.25">
      <c r="A36" s="303"/>
      <c r="B36" s="304"/>
      <c r="C36" s="304"/>
      <c r="D36" s="304"/>
      <c r="E36" s="304"/>
      <c r="F36" s="304"/>
      <c r="G36" s="304"/>
      <c r="H36" s="304"/>
      <c r="I36" s="305"/>
    </row>
    <row r="37" spans="1:9" x14ac:dyDescent="0.25">
      <c r="A37" s="303"/>
      <c r="B37" s="304"/>
      <c r="C37" s="304"/>
      <c r="D37" s="304"/>
      <c r="E37" s="304"/>
      <c r="F37" s="304"/>
      <c r="G37" s="304"/>
      <c r="H37" s="304"/>
      <c r="I37" s="305"/>
    </row>
    <row r="38" spans="1:9" x14ac:dyDescent="0.25">
      <c r="A38" s="303"/>
      <c r="B38" s="304"/>
      <c r="C38" s="304"/>
      <c r="D38" s="304"/>
      <c r="E38" s="304"/>
      <c r="F38" s="304"/>
      <c r="G38" s="304"/>
      <c r="H38" s="304"/>
      <c r="I38" s="305"/>
    </row>
    <row r="39" spans="1:9" x14ac:dyDescent="0.25">
      <c r="A39" s="303"/>
      <c r="B39" s="304"/>
      <c r="C39" s="304"/>
      <c r="D39" s="304"/>
      <c r="E39" s="304"/>
      <c r="F39" s="304"/>
      <c r="G39" s="304"/>
      <c r="H39" s="304"/>
      <c r="I39" s="305"/>
    </row>
    <row r="40" spans="1:9" x14ac:dyDescent="0.25">
      <c r="A40" s="303"/>
      <c r="B40" s="304"/>
      <c r="C40" s="304"/>
      <c r="D40" s="304"/>
      <c r="E40" s="304"/>
      <c r="F40" s="304"/>
      <c r="G40" s="304"/>
      <c r="H40" s="304"/>
      <c r="I40" s="305"/>
    </row>
    <row r="41" spans="1:9" x14ac:dyDescent="0.25">
      <c r="A41" s="303"/>
      <c r="B41" s="304"/>
      <c r="C41" s="304"/>
      <c r="D41" s="304"/>
      <c r="E41" s="304"/>
      <c r="F41" s="304"/>
      <c r="G41" s="304"/>
      <c r="H41" s="304"/>
      <c r="I41" s="305"/>
    </row>
    <row r="42" spans="1:9" x14ac:dyDescent="0.25">
      <c r="A42" s="303"/>
      <c r="B42" s="304"/>
      <c r="C42" s="304"/>
      <c r="D42" s="304"/>
      <c r="E42" s="304"/>
      <c r="F42" s="304"/>
      <c r="G42" s="304"/>
      <c r="H42" s="304"/>
      <c r="I42" s="305"/>
    </row>
    <row r="43" spans="1:9" x14ac:dyDescent="0.25">
      <c r="A43" s="303"/>
      <c r="B43" s="304"/>
      <c r="C43" s="304"/>
      <c r="D43" s="304"/>
      <c r="E43" s="304"/>
      <c r="F43" s="304"/>
      <c r="G43" s="304"/>
      <c r="H43" s="304"/>
      <c r="I43" s="305"/>
    </row>
    <row r="44" spans="1:9" x14ac:dyDescent="0.25">
      <c r="A44" s="303"/>
      <c r="B44" s="304"/>
      <c r="C44" s="304"/>
      <c r="D44" s="304"/>
      <c r="E44" s="304"/>
      <c r="F44" s="304"/>
      <c r="G44" s="304"/>
      <c r="H44" s="304"/>
      <c r="I44" s="305"/>
    </row>
    <row r="45" spans="1:9" x14ac:dyDescent="0.25">
      <c r="A45" s="303"/>
      <c r="B45" s="304"/>
      <c r="C45" s="304"/>
      <c r="D45" s="304"/>
      <c r="E45" s="304"/>
      <c r="F45" s="304"/>
      <c r="G45" s="304"/>
      <c r="H45" s="304"/>
      <c r="I45" s="305"/>
    </row>
    <row r="46" spans="1:9" x14ac:dyDescent="0.25">
      <c r="A46" s="303"/>
      <c r="B46" s="304"/>
      <c r="C46" s="304"/>
      <c r="D46" s="304"/>
      <c r="E46" s="304"/>
      <c r="F46" s="304"/>
      <c r="G46" s="304"/>
      <c r="H46" s="304"/>
      <c r="I46" s="305"/>
    </row>
    <row r="47" spans="1:9" x14ac:dyDescent="0.25">
      <c r="A47" s="303"/>
      <c r="B47" s="304"/>
      <c r="C47" s="304"/>
      <c r="D47" s="304"/>
      <c r="E47" s="304"/>
      <c r="F47" s="304"/>
      <c r="G47" s="304"/>
      <c r="H47" s="304"/>
      <c r="I47" s="305"/>
    </row>
    <row r="48" spans="1:9" x14ac:dyDescent="0.25">
      <c r="A48" s="303"/>
      <c r="B48" s="304"/>
      <c r="C48" s="304"/>
      <c r="D48" s="304"/>
      <c r="E48" s="304"/>
      <c r="F48" s="304"/>
      <c r="G48" s="304"/>
      <c r="H48" s="304"/>
      <c r="I48" s="305"/>
    </row>
    <row r="49" spans="1:9" x14ac:dyDescent="0.25">
      <c r="A49" s="303"/>
      <c r="B49" s="304"/>
      <c r="C49" s="304"/>
      <c r="D49" s="304"/>
      <c r="E49" s="304"/>
      <c r="F49" s="304"/>
      <c r="G49" s="304"/>
      <c r="H49" s="304"/>
      <c r="I49" s="305"/>
    </row>
    <row r="50" spans="1:9" x14ac:dyDescent="0.25">
      <c r="A50" s="306"/>
      <c r="B50" s="307"/>
      <c r="C50" s="307"/>
      <c r="D50" s="307"/>
      <c r="E50" s="307"/>
      <c r="F50" s="307"/>
      <c r="G50" s="307"/>
      <c r="H50" s="307"/>
      <c r="I50" s="308"/>
    </row>
  </sheetData>
  <sheetProtection selectLockedCells="1"/>
  <mergeCells count="33">
    <mergeCell ref="C26:F26"/>
    <mergeCell ref="G26:H26"/>
    <mergeCell ref="C18:F18"/>
    <mergeCell ref="G18:H18"/>
    <mergeCell ref="C22:F22"/>
    <mergeCell ref="G22:H22"/>
    <mergeCell ref="C23:F23"/>
    <mergeCell ref="G23:H23"/>
    <mergeCell ref="A4:I4"/>
    <mergeCell ref="C25:F25"/>
    <mergeCell ref="G25:H25"/>
    <mergeCell ref="A5:I5"/>
    <mergeCell ref="G10:H10"/>
    <mergeCell ref="C11:F11"/>
    <mergeCell ref="G11:H11"/>
    <mergeCell ref="B8:C8"/>
    <mergeCell ref="E8:G8"/>
    <mergeCell ref="A33:I50"/>
    <mergeCell ref="G1:I1"/>
    <mergeCell ref="A1:F1"/>
    <mergeCell ref="C24:F24"/>
    <mergeCell ref="G24:H24"/>
    <mergeCell ref="C12:F12"/>
    <mergeCell ref="G12:H12"/>
    <mergeCell ref="B15:I15"/>
    <mergeCell ref="C16:F16"/>
    <mergeCell ref="G16:H16"/>
    <mergeCell ref="C17:F17"/>
    <mergeCell ref="G17:H17"/>
    <mergeCell ref="C9:F9"/>
    <mergeCell ref="G9:H9"/>
    <mergeCell ref="C10:F10"/>
    <mergeCell ref="A3:I3"/>
  </mergeCells>
  <dataValidations xWindow="640" yWindow="448" count="1">
    <dataValidation allowBlank="1" showInputMessage="1" showErrorMessage="1" promptTitle="INSTRUCTIONS:" prompt="1)  DO NOT EXCEED the space provided as it will not appear when cursor is outside the box or when page is printed._x000a_2)  Press ALT and ENTER to start a new paragraph._x000a_3)  For Spell Check go to REVIEW and click on &quot;ABC Spelling.&quot;" sqref="A33" xr:uid="{00000000-0002-0000-0300-000000000000}"/>
  </dataValidations>
  <hyperlinks>
    <hyperlink ref="A5" r:id="rId1" xr:uid="{00000000-0004-0000-0300-000000000000}"/>
  </hyperlinks>
  <pageMargins left="0.7" right="0.7" top="0.75" bottom="0.5" header="0.3" footer="0.3"/>
  <pageSetup orientation="portrait" r:id="rId2"/>
  <headerFooter>
    <oddFooter>&amp;L&amp;7&amp;Z&amp;F
Arrest Report Tab</oddFooter>
  </headerFooter>
  <ignoredErrors>
    <ignoredError sqref="G1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88"/>
  <sheetViews>
    <sheetView showGridLines="0" zoomScaleNormal="100" workbookViewId="0">
      <selection activeCell="A8" sqref="A8:J56"/>
    </sheetView>
  </sheetViews>
  <sheetFormatPr defaultColWidth="9.21875" defaultRowHeight="13.2" x14ac:dyDescent="0.25"/>
  <cols>
    <col min="1" max="11" width="9.21875" style="45"/>
    <col min="12" max="16384" width="9.21875" style="39"/>
  </cols>
  <sheetData>
    <row r="1" spans="1:15" ht="15.6" x14ac:dyDescent="0.3">
      <c r="A1" s="351" t="s">
        <v>846</v>
      </c>
      <c r="B1" s="352"/>
      <c r="C1" s="352"/>
      <c r="D1" s="352"/>
      <c r="E1" s="352"/>
      <c r="F1" s="352"/>
      <c r="G1" s="352"/>
      <c r="H1" s="349" t="str">
        <f>'CONTACT INFORMATION'!$A$24</f>
        <v>Fresno</v>
      </c>
      <c r="I1" s="349"/>
      <c r="J1" s="350"/>
      <c r="K1" s="159"/>
      <c r="L1" s="189"/>
    </row>
    <row r="2" spans="1:15" ht="7.5" customHeight="1" x14ac:dyDescent="0.3">
      <c r="A2" s="57"/>
      <c r="B2" s="57"/>
      <c r="C2" s="57"/>
      <c r="D2" s="57"/>
      <c r="E2" s="57"/>
      <c r="F2" s="57"/>
      <c r="G2" s="57"/>
      <c r="H2" s="57"/>
      <c r="I2" s="57"/>
      <c r="J2" s="57"/>
      <c r="K2" s="224"/>
      <c r="L2" s="189"/>
    </row>
    <row r="3" spans="1:15" ht="13.8" x14ac:dyDescent="0.25">
      <c r="A3" s="417" t="s">
        <v>884</v>
      </c>
      <c r="B3" s="418"/>
      <c r="C3" s="418"/>
      <c r="D3" s="418"/>
      <c r="E3" s="418"/>
      <c r="F3" s="418"/>
      <c r="G3" s="418"/>
      <c r="H3" s="418"/>
      <c r="I3" s="418"/>
      <c r="J3" s="419"/>
    </row>
    <row r="4" spans="1:15" s="211" customFormat="1" ht="13.8" x14ac:dyDescent="0.25">
      <c r="A4" s="225"/>
      <c r="B4" s="185"/>
      <c r="C4" s="185"/>
      <c r="D4" s="185"/>
      <c r="E4" s="185"/>
      <c r="F4" s="185"/>
      <c r="G4" s="185"/>
      <c r="H4" s="185"/>
      <c r="I4" s="185"/>
      <c r="J4" s="186"/>
      <c r="K4" s="128"/>
    </row>
    <row r="5" spans="1:15" s="211" customFormat="1" ht="15" customHeight="1" x14ac:dyDescent="0.25">
      <c r="A5" s="420" t="s">
        <v>837</v>
      </c>
      <c r="B5" s="421"/>
      <c r="C5" s="421"/>
      <c r="D5" s="421"/>
      <c r="E5" s="421"/>
      <c r="F5" s="421"/>
      <c r="G5" s="421"/>
      <c r="H5" s="421"/>
      <c r="I5" s="421"/>
      <c r="J5" s="422"/>
      <c r="K5" s="128"/>
    </row>
    <row r="6" spans="1:15" s="211" customFormat="1" ht="15" customHeight="1" x14ac:dyDescent="0.25">
      <c r="A6" s="423"/>
      <c r="B6" s="424"/>
      <c r="C6" s="424"/>
      <c r="D6" s="424"/>
      <c r="E6" s="424"/>
      <c r="F6" s="424"/>
      <c r="G6" s="424"/>
      <c r="H6" s="424"/>
      <c r="I6" s="424"/>
      <c r="J6" s="425"/>
      <c r="K6" s="128"/>
    </row>
    <row r="7" spans="1:15" s="211" customFormat="1" ht="15" customHeight="1" x14ac:dyDescent="0.25">
      <c r="A7" s="426"/>
      <c r="B7" s="427"/>
      <c r="C7" s="427"/>
      <c r="D7" s="427"/>
      <c r="E7" s="427"/>
      <c r="F7" s="427"/>
      <c r="G7" s="427"/>
      <c r="H7" s="427"/>
      <c r="I7" s="427"/>
      <c r="J7" s="428"/>
      <c r="K7" s="128"/>
    </row>
    <row r="8" spans="1:15" s="211" customFormat="1" ht="15" customHeight="1" x14ac:dyDescent="0.25">
      <c r="A8" s="408" t="s">
        <v>937</v>
      </c>
      <c r="B8" s="409"/>
      <c r="C8" s="409"/>
      <c r="D8" s="409"/>
      <c r="E8" s="409"/>
      <c r="F8" s="409"/>
      <c r="G8" s="409"/>
      <c r="H8" s="409"/>
      <c r="I8" s="409"/>
      <c r="J8" s="410"/>
      <c r="K8" s="128"/>
      <c r="O8" s="226"/>
    </row>
    <row r="9" spans="1:15" s="211" customFormat="1" ht="15" customHeight="1" x14ac:dyDescent="0.25">
      <c r="A9" s="411"/>
      <c r="B9" s="412"/>
      <c r="C9" s="412"/>
      <c r="D9" s="412"/>
      <c r="E9" s="412"/>
      <c r="F9" s="412"/>
      <c r="G9" s="412"/>
      <c r="H9" s="412"/>
      <c r="I9" s="412"/>
      <c r="J9" s="413"/>
      <c r="K9" s="128"/>
    </row>
    <row r="10" spans="1:15" ht="14.25" customHeight="1" x14ac:dyDescent="0.25">
      <c r="A10" s="411"/>
      <c r="B10" s="412"/>
      <c r="C10" s="412"/>
      <c r="D10" s="412"/>
      <c r="E10" s="412"/>
      <c r="F10" s="412"/>
      <c r="G10" s="412"/>
      <c r="H10" s="412"/>
      <c r="I10" s="412"/>
      <c r="J10" s="413"/>
    </row>
    <row r="11" spans="1:15" x14ac:dyDescent="0.25">
      <c r="A11" s="411"/>
      <c r="B11" s="412"/>
      <c r="C11" s="412"/>
      <c r="D11" s="412"/>
      <c r="E11" s="412"/>
      <c r="F11" s="412"/>
      <c r="G11" s="412"/>
      <c r="H11" s="412"/>
      <c r="I11" s="412"/>
      <c r="J11" s="413"/>
    </row>
    <row r="12" spans="1:15" x14ac:dyDescent="0.25">
      <c r="A12" s="411"/>
      <c r="B12" s="412"/>
      <c r="C12" s="412"/>
      <c r="D12" s="412"/>
      <c r="E12" s="412"/>
      <c r="F12" s="412"/>
      <c r="G12" s="412"/>
      <c r="H12" s="412"/>
      <c r="I12" s="412"/>
      <c r="J12" s="413"/>
    </row>
    <row r="13" spans="1:15" x14ac:dyDescent="0.25">
      <c r="A13" s="411"/>
      <c r="B13" s="412"/>
      <c r="C13" s="412"/>
      <c r="D13" s="412"/>
      <c r="E13" s="412"/>
      <c r="F13" s="412"/>
      <c r="G13" s="412"/>
      <c r="H13" s="412"/>
      <c r="I13" s="412"/>
      <c r="J13" s="413"/>
    </row>
    <row r="14" spans="1:15" x14ac:dyDescent="0.25">
      <c r="A14" s="411"/>
      <c r="B14" s="412"/>
      <c r="C14" s="412"/>
      <c r="D14" s="412"/>
      <c r="E14" s="412"/>
      <c r="F14" s="412"/>
      <c r="G14" s="412"/>
      <c r="H14" s="412"/>
      <c r="I14" s="412"/>
      <c r="J14" s="413"/>
    </row>
    <row r="15" spans="1:15" x14ac:dyDescent="0.25">
      <c r="A15" s="411"/>
      <c r="B15" s="412"/>
      <c r="C15" s="412"/>
      <c r="D15" s="412"/>
      <c r="E15" s="412"/>
      <c r="F15" s="412"/>
      <c r="G15" s="412"/>
      <c r="H15" s="412"/>
      <c r="I15" s="412"/>
      <c r="J15" s="413"/>
    </row>
    <row r="16" spans="1:15" x14ac:dyDescent="0.25">
      <c r="A16" s="411"/>
      <c r="B16" s="412"/>
      <c r="C16" s="412"/>
      <c r="D16" s="412"/>
      <c r="E16" s="412"/>
      <c r="F16" s="412"/>
      <c r="G16" s="412"/>
      <c r="H16" s="412"/>
      <c r="I16" s="412"/>
      <c r="J16" s="413"/>
    </row>
    <row r="17" spans="1:10" x14ac:dyDescent="0.25">
      <c r="A17" s="411"/>
      <c r="B17" s="412"/>
      <c r="C17" s="412"/>
      <c r="D17" s="412"/>
      <c r="E17" s="412"/>
      <c r="F17" s="412"/>
      <c r="G17" s="412"/>
      <c r="H17" s="412"/>
      <c r="I17" s="412"/>
      <c r="J17" s="413"/>
    </row>
    <row r="18" spans="1:10" x14ac:dyDescent="0.25">
      <c r="A18" s="411"/>
      <c r="B18" s="412"/>
      <c r="C18" s="412"/>
      <c r="D18" s="412"/>
      <c r="E18" s="412"/>
      <c r="F18" s="412"/>
      <c r="G18" s="412"/>
      <c r="H18" s="412"/>
      <c r="I18" s="412"/>
      <c r="J18" s="413"/>
    </row>
    <row r="19" spans="1:10" x14ac:dyDescent="0.25">
      <c r="A19" s="411"/>
      <c r="B19" s="412"/>
      <c r="C19" s="412"/>
      <c r="D19" s="412"/>
      <c r="E19" s="412"/>
      <c r="F19" s="412"/>
      <c r="G19" s="412"/>
      <c r="H19" s="412"/>
      <c r="I19" s="412"/>
      <c r="J19" s="413"/>
    </row>
    <row r="20" spans="1:10" x14ac:dyDescent="0.25">
      <c r="A20" s="411"/>
      <c r="B20" s="412"/>
      <c r="C20" s="412"/>
      <c r="D20" s="412"/>
      <c r="E20" s="412"/>
      <c r="F20" s="412"/>
      <c r="G20" s="412"/>
      <c r="H20" s="412"/>
      <c r="I20" s="412"/>
      <c r="J20" s="413"/>
    </row>
    <row r="21" spans="1:10" x14ac:dyDescent="0.25">
      <c r="A21" s="411"/>
      <c r="B21" s="412"/>
      <c r="C21" s="412"/>
      <c r="D21" s="412"/>
      <c r="E21" s="412"/>
      <c r="F21" s="412"/>
      <c r="G21" s="412"/>
      <c r="H21" s="412"/>
      <c r="I21" s="412"/>
      <c r="J21" s="413"/>
    </row>
    <row r="22" spans="1:10" x14ac:dyDescent="0.25">
      <c r="A22" s="411"/>
      <c r="B22" s="412"/>
      <c r="C22" s="412"/>
      <c r="D22" s="412"/>
      <c r="E22" s="412"/>
      <c r="F22" s="412"/>
      <c r="G22" s="412"/>
      <c r="H22" s="412"/>
      <c r="I22" s="412"/>
      <c r="J22" s="413"/>
    </row>
    <row r="23" spans="1:10" x14ac:dyDescent="0.25">
      <c r="A23" s="411"/>
      <c r="B23" s="412"/>
      <c r="C23" s="412"/>
      <c r="D23" s="412"/>
      <c r="E23" s="412"/>
      <c r="F23" s="412"/>
      <c r="G23" s="412"/>
      <c r="H23" s="412"/>
      <c r="I23" s="412"/>
      <c r="J23" s="413"/>
    </row>
    <row r="24" spans="1:10" x14ac:dyDescent="0.25">
      <c r="A24" s="411"/>
      <c r="B24" s="412"/>
      <c r="C24" s="412"/>
      <c r="D24" s="412"/>
      <c r="E24" s="412"/>
      <c r="F24" s="412"/>
      <c r="G24" s="412"/>
      <c r="H24" s="412"/>
      <c r="I24" s="412"/>
      <c r="J24" s="413"/>
    </row>
    <row r="25" spans="1:10" x14ac:dyDescent="0.25">
      <c r="A25" s="411"/>
      <c r="B25" s="412"/>
      <c r="C25" s="412"/>
      <c r="D25" s="412"/>
      <c r="E25" s="412"/>
      <c r="F25" s="412"/>
      <c r="G25" s="412"/>
      <c r="H25" s="412"/>
      <c r="I25" s="412"/>
      <c r="J25" s="413"/>
    </row>
    <row r="26" spans="1:10" x14ac:dyDescent="0.25">
      <c r="A26" s="411"/>
      <c r="B26" s="412"/>
      <c r="C26" s="412"/>
      <c r="D26" s="412"/>
      <c r="E26" s="412"/>
      <c r="F26" s="412"/>
      <c r="G26" s="412"/>
      <c r="H26" s="412"/>
      <c r="I26" s="412"/>
      <c r="J26" s="413"/>
    </row>
    <row r="27" spans="1:10" x14ac:dyDescent="0.25">
      <c r="A27" s="411"/>
      <c r="B27" s="412"/>
      <c r="C27" s="412"/>
      <c r="D27" s="412"/>
      <c r="E27" s="412"/>
      <c r="F27" s="412"/>
      <c r="G27" s="412"/>
      <c r="H27" s="412"/>
      <c r="I27" s="412"/>
      <c r="J27" s="413"/>
    </row>
    <row r="28" spans="1:10" x14ac:dyDescent="0.25">
      <c r="A28" s="411"/>
      <c r="B28" s="412"/>
      <c r="C28" s="412"/>
      <c r="D28" s="412"/>
      <c r="E28" s="412"/>
      <c r="F28" s="412"/>
      <c r="G28" s="412"/>
      <c r="H28" s="412"/>
      <c r="I28" s="412"/>
      <c r="J28" s="413"/>
    </row>
    <row r="29" spans="1:10" x14ac:dyDescent="0.25">
      <c r="A29" s="411"/>
      <c r="B29" s="412"/>
      <c r="C29" s="412"/>
      <c r="D29" s="412"/>
      <c r="E29" s="412"/>
      <c r="F29" s="412"/>
      <c r="G29" s="412"/>
      <c r="H29" s="412"/>
      <c r="I29" s="412"/>
      <c r="J29" s="413"/>
    </row>
    <row r="30" spans="1:10" x14ac:dyDescent="0.25">
      <c r="A30" s="411"/>
      <c r="B30" s="412"/>
      <c r="C30" s="412"/>
      <c r="D30" s="412"/>
      <c r="E30" s="412"/>
      <c r="F30" s="412"/>
      <c r="G30" s="412"/>
      <c r="H30" s="412"/>
      <c r="I30" s="412"/>
      <c r="J30" s="413"/>
    </row>
    <row r="31" spans="1:10" x14ac:dyDescent="0.25">
      <c r="A31" s="411"/>
      <c r="B31" s="412"/>
      <c r="C31" s="412"/>
      <c r="D31" s="412"/>
      <c r="E31" s="412"/>
      <c r="F31" s="412"/>
      <c r="G31" s="412"/>
      <c r="H31" s="412"/>
      <c r="I31" s="412"/>
      <c r="J31" s="413"/>
    </row>
    <row r="32" spans="1:10" x14ac:dyDescent="0.25">
      <c r="A32" s="411"/>
      <c r="B32" s="412"/>
      <c r="C32" s="412"/>
      <c r="D32" s="412"/>
      <c r="E32" s="412"/>
      <c r="F32" s="412"/>
      <c r="G32" s="412"/>
      <c r="H32" s="412"/>
      <c r="I32" s="412"/>
      <c r="J32" s="413"/>
    </row>
    <row r="33" spans="1:10" x14ac:dyDescent="0.25">
      <c r="A33" s="411"/>
      <c r="B33" s="412"/>
      <c r="C33" s="412"/>
      <c r="D33" s="412"/>
      <c r="E33" s="412"/>
      <c r="F33" s="412"/>
      <c r="G33" s="412"/>
      <c r="H33" s="412"/>
      <c r="I33" s="412"/>
      <c r="J33" s="413"/>
    </row>
    <row r="34" spans="1:10" x14ac:dyDescent="0.25">
      <c r="A34" s="411"/>
      <c r="B34" s="412"/>
      <c r="C34" s="412"/>
      <c r="D34" s="412"/>
      <c r="E34" s="412"/>
      <c r="F34" s="412"/>
      <c r="G34" s="412"/>
      <c r="H34" s="412"/>
      <c r="I34" s="412"/>
      <c r="J34" s="413"/>
    </row>
    <row r="35" spans="1:10" x14ac:dyDescent="0.25">
      <c r="A35" s="411"/>
      <c r="B35" s="412"/>
      <c r="C35" s="412"/>
      <c r="D35" s="412"/>
      <c r="E35" s="412"/>
      <c r="F35" s="412"/>
      <c r="G35" s="412"/>
      <c r="H35" s="412"/>
      <c r="I35" s="412"/>
      <c r="J35" s="413"/>
    </row>
    <row r="36" spans="1:10" x14ac:dyDescent="0.25">
      <c r="A36" s="411"/>
      <c r="B36" s="412"/>
      <c r="C36" s="412"/>
      <c r="D36" s="412"/>
      <c r="E36" s="412"/>
      <c r="F36" s="412"/>
      <c r="G36" s="412"/>
      <c r="H36" s="412"/>
      <c r="I36" s="412"/>
      <c r="J36" s="413"/>
    </row>
    <row r="37" spans="1:10" x14ac:dyDescent="0.25">
      <c r="A37" s="411"/>
      <c r="B37" s="412"/>
      <c r="C37" s="412"/>
      <c r="D37" s="412"/>
      <c r="E37" s="412"/>
      <c r="F37" s="412"/>
      <c r="G37" s="412"/>
      <c r="H37" s="412"/>
      <c r="I37" s="412"/>
      <c r="J37" s="413"/>
    </row>
    <row r="38" spans="1:10" x14ac:dyDescent="0.25">
      <c r="A38" s="411"/>
      <c r="B38" s="412"/>
      <c r="C38" s="412"/>
      <c r="D38" s="412"/>
      <c r="E38" s="412"/>
      <c r="F38" s="412"/>
      <c r="G38" s="412"/>
      <c r="H38" s="412"/>
      <c r="I38" s="412"/>
      <c r="J38" s="413"/>
    </row>
    <row r="39" spans="1:10" x14ac:dyDescent="0.25">
      <c r="A39" s="411"/>
      <c r="B39" s="412"/>
      <c r="C39" s="412"/>
      <c r="D39" s="412"/>
      <c r="E39" s="412"/>
      <c r="F39" s="412"/>
      <c r="G39" s="412"/>
      <c r="H39" s="412"/>
      <c r="I39" s="412"/>
      <c r="J39" s="413"/>
    </row>
    <row r="40" spans="1:10" x14ac:dyDescent="0.25">
      <c r="A40" s="411"/>
      <c r="B40" s="412"/>
      <c r="C40" s="412"/>
      <c r="D40" s="412"/>
      <c r="E40" s="412"/>
      <c r="F40" s="412"/>
      <c r="G40" s="412"/>
      <c r="H40" s="412"/>
      <c r="I40" s="412"/>
      <c r="J40" s="413"/>
    </row>
    <row r="41" spans="1:10" x14ac:dyDescent="0.25">
      <c r="A41" s="411"/>
      <c r="B41" s="412"/>
      <c r="C41" s="412"/>
      <c r="D41" s="412"/>
      <c r="E41" s="412"/>
      <c r="F41" s="412"/>
      <c r="G41" s="412"/>
      <c r="H41" s="412"/>
      <c r="I41" s="412"/>
      <c r="J41" s="413"/>
    </row>
    <row r="42" spans="1:10" x14ac:dyDescent="0.25">
      <c r="A42" s="411"/>
      <c r="B42" s="412"/>
      <c r="C42" s="412"/>
      <c r="D42" s="412"/>
      <c r="E42" s="412"/>
      <c r="F42" s="412"/>
      <c r="G42" s="412"/>
      <c r="H42" s="412"/>
      <c r="I42" s="412"/>
      <c r="J42" s="413"/>
    </row>
    <row r="43" spans="1:10" x14ac:dyDescent="0.25">
      <c r="A43" s="411"/>
      <c r="B43" s="412"/>
      <c r="C43" s="412"/>
      <c r="D43" s="412"/>
      <c r="E43" s="412"/>
      <c r="F43" s="412"/>
      <c r="G43" s="412"/>
      <c r="H43" s="412"/>
      <c r="I43" s="412"/>
      <c r="J43" s="413"/>
    </row>
    <row r="44" spans="1:10" x14ac:dyDescent="0.25">
      <c r="A44" s="411"/>
      <c r="B44" s="412"/>
      <c r="C44" s="412"/>
      <c r="D44" s="412"/>
      <c r="E44" s="412"/>
      <c r="F44" s="412"/>
      <c r="G44" s="412"/>
      <c r="H44" s="412"/>
      <c r="I44" s="412"/>
      <c r="J44" s="413"/>
    </row>
    <row r="45" spans="1:10" x14ac:dyDescent="0.25">
      <c r="A45" s="411"/>
      <c r="B45" s="412"/>
      <c r="C45" s="412"/>
      <c r="D45" s="412"/>
      <c r="E45" s="412"/>
      <c r="F45" s="412"/>
      <c r="G45" s="412"/>
      <c r="H45" s="412"/>
      <c r="I45" s="412"/>
      <c r="J45" s="413"/>
    </row>
    <row r="46" spans="1:10" x14ac:dyDescent="0.25">
      <c r="A46" s="411"/>
      <c r="B46" s="412"/>
      <c r="C46" s="412"/>
      <c r="D46" s="412"/>
      <c r="E46" s="412"/>
      <c r="F46" s="412"/>
      <c r="G46" s="412"/>
      <c r="H46" s="412"/>
      <c r="I46" s="412"/>
      <c r="J46" s="413"/>
    </row>
    <row r="47" spans="1:10" x14ac:dyDescent="0.25">
      <c r="A47" s="411"/>
      <c r="B47" s="412"/>
      <c r="C47" s="412"/>
      <c r="D47" s="412"/>
      <c r="E47" s="412"/>
      <c r="F47" s="412"/>
      <c r="G47" s="412"/>
      <c r="H47" s="412"/>
      <c r="I47" s="412"/>
      <c r="J47" s="413"/>
    </row>
    <row r="48" spans="1:10" x14ac:dyDescent="0.25">
      <c r="A48" s="411"/>
      <c r="B48" s="412"/>
      <c r="C48" s="412"/>
      <c r="D48" s="412"/>
      <c r="E48" s="412"/>
      <c r="F48" s="412"/>
      <c r="G48" s="412"/>
      <c r="H48" s="412"/>
      <c r="I48" s="412"/>
      <c r="J48" s="413"/>
    </row>
    <row r="49" spans="1:10" x14ac:dyDescent="0.25">
      <c r="A49" s="411"/>
      <c r="B49" s="412"/>
      <c r="C49" s="412"/>
      <c r="D49" s="412"/>
      <c r="E49" s="412"/>
      <c r="F49" s="412"/>
      <c r="G49" s="412"/>
      <c r="H49" s="412"/>
      <c r="I49" s="412"/>
      <c r="J49" s="413"/>
    </row>
    <row r="50" spans="1:10" x14ac:dyDescent="0.25">
      <c r="A50" s="411"/>
      <c r="B50" s="412"/>
      <c r="C50" s="412"/>
      <c r="D50" s="412"/>
      <c r="E50" s="412"/>
      <c r="F50" s="412"/>
      <c r="G50" s="412"/>
      <c r="H50" s="412"/>
      <c r="I50" s="412"/>
      <c r="J50" s="413"/>
    </row>
    <row r="51" spans="1:10" x14ac:dyDescent="0.25">
      <c r="A51" s="411"/>
      <c r="B51" s="412"/>
      <c r="C51" s="412"/>
      <c r="D51" s="412"/>
      <c r="E51" s="412"/>
      <c r="F51" s="412"/>
      <c r="G51" s="412"/>
      <c r="H51" s="412"/>
      <c r="I51" s="412"/>
      <c r="J51" s="413"/>
    </row>
    <row r="52" spans="1:10" x14ac:dyDescent="0.25">
      <c r="A52" s="411"/>
      <c r="B52" s="412"/>
      <c r="C52" s="412"/>
      <c r="D52" s="412"/>
      <c r="E52" s="412"/>
      <c r="F52" s="412"/>
      <c r="G52" s="412"/>
      <c r="H52" s="412"/>
      <c r="I52" s="412"/>
      <c r="J52" s="413"/>
    </row>
    <row r="53" spans="1:10" x14ac:dyDescent="0.25">
      <c r="A53" s="411"/>
      <c r="B53" s="412"/>
      <c r="C53" s="412"/>
      <c r="D53" s="412"/>
      <c r="E53" s="412"/>
      <c r="F53" s="412"/>
      <c r="G53" s="412"/>
      <c r="H53" s="412"/>
      <c r="I53" s="412"/>
      <c r="J53" s="413"/>
    </row>
    <row r="54" spans="1:10" x14ac:dyDescent="0.25">
      <c r="A54" s="411"/>
      <c r="B54" s="412"/>
      <c r="C54" s="412"/>
      <c r="D54" s="412"/>
      <c r="E54" s="412"/>
      <c r="F54" s="412"/>
      <c r="G54" s="412"/>
      <c r="H54" s="412"/>
      <c r="I54" s="412"/>
      <c r="J54" s="413"/>
    </row>
    <row r="55" spans="1:10" x14ac:dyDescent="0.25">
      <c r="A55" s="411"/>
      <c r="B55" s="412"/>
      <c r="C55" s="412"/>
      <c r="D55" s="412"/>
      <c r="E55" s="412"/>
      <c r="F55" s="412"/>
      <c r="G55" s="412"/>
      <c r="H55" s="412"/>
      <c r="I55" s="412"/>
      <c r="J55" s="413"/>
    </row>
    <row r="56" spans="1:10" x14ac:dyDescent="0.25">
      <c r="A56" s="414"/>
      <c r="B56" s="415"/>
      <c r="C56" s="415"/>
      <c r="D56" s="415"/>
      <c r="E56" s="415"/>
      <c r="F56" s="415"/>
      <c r="G56" s="415"/>
      <c r="H56" s="415"/>
      <c r="I56" s="415"/>
      <c r="J56" s="416"/>
    </row>
    <row r="87" spans="1:10" ht="13.5" customHeight="1" x14ac:dyDescent="0.25"/>
    <row r="88" spans="1:10" ht="0.75" hidden="1" customHeight="1" x14ac:dyDescent="0.25">
      <c r="A88" s="91"/>
      <c r="J88" s="92"/>
    </row>
  </sheetData>
  <sheetProtection selectLockedCells="1"/>
  <mergeCells count="5">
    <mergeCell ref="A8:J56"/>
    <mergeCell ref="A3:J3"/>
    <mergeCell ref="A5:J7"/>
    <mergeCell ref="A1:G1"/>
    <mergeCell ref="H1:J1"/>
  </mergeCells>
  <dataValidations xWindow="1039" yWindow="379" count="1">
    <dataValidation allowBlank="1" showInputMessage="1" showErrorMessage="1" promptTitle="INSTRUCTIONS:" prompt="1)  Double click inside box to start typing._x000a_2)  DO NOT EXCEED the space provided as it will not appear when page is printed._x000a_3)  Press ALT and ENTER to start a new paragraph._x000a_4)  REVIEW work for accuracy." sqref="A8:J56" xr:uid="{00000000-0002-0000-0400-000000000000}"/>
  </dataValidations>
  <printOptions horizontalCentered="1"/>
  <pageMargins left="0.7" right="0.7" top="0.5" bottom="0.5" header="0.3" footer="0.3"/>
  <pageSetup orientation="portrait" r:id="rId1"/>
  <headerFooter>
    <oddFooter>&amp;L&amp;7&amp;Z&amp;F
Trend Analysis Tab</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dimension ref="A1:T1222"/>
  <sheetViews>
    <sheetView showGridLines="0" topLeftCell="A897" zoomScaleNormal="100" workbookViewId="0">
      <selection activeCell="A948" sqref="A1:XFD1048576"/>
    </sheetView>
  </sheetViews>
  <sheetFormatPr defaultRowHeight="13.2" x14ac:dyDescent="0.25"/>
  <cols>
    <col min="1" max="1" width="10.44140625" style="39" customWidth="1"/>
    <col min="2" max="5" width="9.21875" style="39"/>
    <col min="6" max="6" width="8" style="39" customWidth="1"/>
    <col min="7" max="9" width="9.21875" style="39"/>
    <col min="10" max="10" width="9" style="39" customWidth="1"/>
    <col min="11" max="12" width="8.77734375" style="39"/>
    <col min="13" max="13" width="9.21875" style="39" customWidth="1"/>
    <col min="14" max="19" width="8.77734375" style="39"/>
  </cols>
  <sheetData>
    <row r="1" spans="1:13" ht="15.75" customHeight="1" x14ac:dyDescent="0.3">
      <c r="A1" s="351" t="s">
        <v>848</v>
      </c>
      <c r="B1" s="352"/>
      <c r="C1" s="352"/>
      <c r="D1" s="352"/>
      <c r="E1" s="352"/>
      <c r="F1" s="352"/>
      <c r="G1" s="352"/>
      <c r="H1" s="349" t="str">
        <f>'CONTACT INFORMATION'!$A$24</f>
        <v>Fresno</v>
      </c>
      <c r="I1" s="349"/>
      <c r="J1" s="350"/>
    </row>
    <row r="2" spans="1:13" ht="9" customHeight="1" x14ac:dyDescent="0.25">
      <c r="A2" s="45"/>
      <c r="B2" s="45"/>
      <c r="C2" s="45"/>
      <c r="D2" s="45"/>
      <c r="E2" s="45"/>
      <c r="F2" s="45"/>
      <c r="G2" s="45"/>
      <c r="H2" s="45"/>
      <c r="I2" s="45"/>
      <c r="J2" s="45"/>
    </row>
    <row r="3" spans="1:13" ht="12" customHeight="1" x14ac:dyDescent="0.25">
      <c r="A3" s="500" t="s">
        <v>914</v>
      </c>
      <c r="B3" s="500"/>
      <c r="C3" s="500"/>
      <c r="D3" s="500"/>
      <c r="E3" s="500"/>
      <c r="F3" s="500"/>
      <c r="G3" s="500"/>
      <c r="H3" s="500"/>
      <c r="I3" s="500"/>
      <c r="J3" s="500"/>
    </row>
    <row r="4" spans="1:13" ht="14.1" customHeight="1" x14ac:dyDescent="0.25">
      <c r="A4" s="500"/>
      <c r="B4" s="500"/>
      <c r="C4" s="500"/>
      <c r="D4" s="500"/>
      <c r="E4" s="500"/>
      <c r="F4" s="500"/>
      <c r="G4" s="500"/>
      <c r="H4" s="500"/>
      <c r="I4" s="500"/>
      <c r="J4" s="500"/>
    </row>
    <row r="5" spans="1:13" ht="14.1" customHeight="1" x14ac:dyDescent="0.25">
      <c r="A5" s="500"/>
      <c r="B5" s="500"/>
      <c r="C5" s="500"/>
      <c r="D5" s="500"/>
      <c r="E5" s="500"/>
      <c r="F5" s="500"/>
      <c r="G5" s="500"/>
      <c r="H5" s="500"/>
      <c r="I5" s="500"/>
      <c r="J5" s="500"/>
    </row>
    <row r="6" spans="1:13" ht="14.1" customHeight="1" x14ac:dyDescent="0.25">
      <c r="A6" s="500"/>
      <c r="B6" s="500"/>
      <c r="C6" s="500"/>
      <c r="D6" s="500"/>
      <c r="E6" s="500"/>
      <c r="F6" s="500"/>
      <c r="G6" s="500"/>
      <c r="H6" s="500"/>
      <c r="I6" s="500"/>
      <c r="J6" s="500"/>
      <c r="M6" s="45"/>
    </row>
    <row r="7" spans="1:13" ht="9" customHeight="1" x14ac:dyDescent="0.25">
      <c r="A7" s="500"/>
      <c r="B7" s="500"/>
      <c r="C7" s="500"/>
      <c r="D7" s="500"/>
      <c r="E7" s="500"/>
      <c r="F7" s="500"/>
      <c r="G7" s="500"/>
      <c r="H7" s="500"/>
      <c r="I7" s="500"/>
      <c r="J7" s="500"/>
      <c r="M7" s="45"/>
    </row>
    <row r="8" spans="1:13" ht="10.5" customHeight="1" x14ac:dyDescent="0.25"/>
    <row r="9" spans="1:13" ht="14.1" customHeight="1" x14ac:dyDescent="0.25">
      <c r="A9" s="236" t="s">
        <v>836</v>
      </c>
      <c r="B9" s="236"/>
      <c r="C9" s="236"/>
      <c r="D9" s="236"/>
      <c r="E9" s="236"/>
      <c r="F9" s="236"/>
      <c r="G9" s="236"/>
      <c r="H9" s="236"/>
      <c r="I9" s="236"/>
      <c r="J9" s="236"/>
    </row>
    <row r="10" spans="1:13" ht="14.1" customHeight="1" x14ac:dyDescent="0.25">
      <c r="A10" s="236"/>
      <c r="B10" s="236"/>
      <c r="C10" s="236"/>
      <c r="D10" s="236"/>
      <c r="E10" s="236"/>
      <c r="F10" s="236"/>
      <c r="G10" s="236"/>
      <c r="H10" s="236"/>
      <c r="I10" s="236"/>
      <c r="J10" s="236"/>
    </row>
    <row r="11" spans="1:13" ht="14.1" customHeight="1" x14ac:dyDescent="0.25">
      <c r="A11" s="236"/>
      <c r="B11" s="236"/>
      <c r="C11" s="236"/>
      <c r="D11" s="236"/>
      <c r="E11" s="236"/>
      <c r="F11" s="236"/>
      <c r="G11" s="236"/>
      <c r="H11" s="236"/>
      <c r="I11" s="236"/>
      <c r="J11" s="236"/>
    </row>
    <row r="12" spans="1:13" ht="12.75" customHeight="1" x14ac:dyDescent="0.25">
      <c r="A12" s="122"/>
      <c r="B12" s="122"/>
      <c r="C12" s="122"/>
      <c r="D12" s="122"/>
      <c r="E12" s="122"/>
      <c r="F12" s="122"/>
      <c r="G12" s="122"/>
      <c r="H12" s="122"/>
      <c r="I12" s="122"/>
      <c r="J12" s="122"/>
      <c r="M12" s="45"/>
    </row>
    <row r="13" spans="1:13" ht="13.8" x14ac:dyDescent="0.25">
      <c r="A13" s="504" t="s">
        <v>464</v>
      </c>
      <c r="B13" s="504"/>
      <c r="C13" s="504"/>
      <c r="D13" s="504"/>
      <c r="E13" s="504"/>
      <c r="F13" s="504"/>
      <c r="G13" s="504"/>
      <c r="H13" s="504"/>
      <c r="I13" s="504"/>
      <c r="J13" s="504"/>
    </row>
    <row r="14" spans="1:13" ht="18" customHeight="1" thickBot="1" x14ac:dyDescent="0.3">
      <c r="A14" s="47"/>
      <c r="B14" s="48" t="s">
        <v>466</v>
      </c>
      <c r="C14" s="439" t="s">
        <v>467</v>
      </c>
      <c r="D14" s="439"/>
      <c r="E14" s="439"/>
      <c r="F14" s="49"/>
      <c r="G14" s="48" t="s">
        <v>466</v>
      </c>
      <c r="H14" s="439" t="s">
        <v>467</v>
      </c>
      <c r="I14" s="439"/>
      <c r="J14" s="439"/>
    </row>
    <row r="15" spans="1:13" ht="12" customHeight="1" x14ac:dyDescent="0.25">
      <c r="A15" s="50" t="s">
        <v>465</v>
      </c>
      <c r="B15" s="51">
        <v>1</v>
      </c>
      <c r="C15" s="52" t="s">
        <v>468</v>
      </c>
      <c r="F15" s="52"/>
      <c r="G15" s="51">
        <v>5</v>
      </c>
      <c r="H15" s="52" t="s">
        <v>472</v>
      </c>
      <c r="I15" s="52"/>
      <c r="J15" s="52"/>
    </row>
    <row r="16" spans="1:13" ht="12" customHeight="1" x14ac:dyDescent="0.25">
      <c r="A16" s="52"/>
      <c r="B16" s="51">
        <v>2</v>
      </c>
      <c r="C16" s="52" t="s">
        <v>469</v>
      </c>
      <c r="F16" s="52"/>
      <c r="G16" s="51">
        <v>6</v>
      </c>
      <c r="H16" s="52" t="s">
        <v>473</v>
      </c>
      <c r="I16" s="52"/>
      <c r="J16" s="52"/>
    </row>
    <row r="17" spans="1:10" ht="12" customHeight="1" x14ac:dyDescent="0.25">
      <c r="A17" s="52"/>
      <c r="B17" s="51">
        <v>3</v>
      </c>
      <c r="C17" s="52" t="s">
        <v>470</v>
      </c>
      <c r="F17" s="52"/>
      <c r="G17" s="51">
        <v>7</v>
      </c>
      <c r="H17" s="52" t="s">
        <v>474</v>
      </c>
      <c r="I17" s="52"/>
      <c r="J17" s="52"/>
    </row>
    <row r="18" spans="1:10" ht="12" customHeight="1" x14ac:dyDescent="0.25">
      <c r="A18" s="52"/>
      <c r="B18" s="51">
        <v>4</v>
      </c>
      <c r="C18" s="52" t="s">
        <v>471</v>
      </c>
      <c r="F18" s="52"/>
      <c r="G18" s="52"/>
      <c r="H18" s="52"/>
      <c r="I18" s="52"/>
      <c r="J18" s="52"/>
    </row>
    <row r="19" spans="1:10" ht="10.5" customHeight="1" x14ac:dyDescent="0.25">
      <c r="A19" s="52"/>
      <c r="B19" s="51"/>
      <c r="C19" s="52"/>
      <c r="F19" s="52"/>
      <c r="G19" s="52"/>
      <c r="H19" s="52"/>
      <c r="I19" s="52"/>
      <c r="J19" s="52"/>
    </row>
    <row r="20" spans="1:10" ht="12" customHeight="1" thickBot="1" x14ac:dyDescent="0.3">
      <c r="A20" s="47"/>
      <c r="B20" s="48" t="s">
        <v>466</v>
      </c>
      <c r="C20" s="439" t="s">
        <v>467</v>
      </c>
      <c r="D20" s="439"/>
      <c r="E20" s="439"/>
      <c r="F20" s="53"/>
      <c r="G20" s="48" t="s">
        <v>466</v>
      </c>
      <c r="H20" s="439" t="s">
        <v>467</v>
      </c>
      <c r="I20" s="439"/>
      <c r="J20" s="439"/>
    </row>
    <row r="21" spans="1:10" ht="12" customHeight="1" x14ac:dyDescent="0.25">
      <c r="A21" s="54" t="s">
        <v>514</v>
      </c>
      <c r="B21" s="51">
        <v>8</v>
      </c>
      <c r="C21" s="52" t="s">
        <v>536</v>
      </c>
      <c r="F21" s="52"/>
      <c r="G21" s="51">
        <v>26</v>
      </c>
      <c r="H21" s="52" t="s">
        <v>839</v>
      </c>
      <c r="I21" s="52"/>
      <c r="J21" s="52"/>
    </row>
    <row r="22" spans="1:10" ht="12" customHeight="1" x14ac:dyDescent="0.25">
      <c r="A22" s="55" t="s">
        <v>515</v>
      </c>
      <c r="B22" s="51">
        <v>9</v>
      </c>
      <c r="C22" s="52" t="s">
        <v>475</v>
      </c>
      <c r="F22" s="52"/>
      <c r="G22" s="51"/>
      <c r="H22" s="52" t="s">
        <v>838</v>
      </c>
      <c r="I22" s="52"/>
      <c r="J22" s="52"/>
    </row>
    <row r="23" spans="1:10" ht="12" customHeight="1" x14ac:dyDescent="0.25">
      <c r="B23" s="51">
        <v>10</v>
      </c>
      <c r="C23" s="52" t="s">
        <v>476</v>
      </c>
      <c r="F23" s="52"/>
      <c r="G23" s="51">
        <v>27</v>
      </c>
      <c r="H23" s="52" t="s">
        <v>493</v>
      </c>
      <c r="I23" s="52"/>
      <c r="J23" s="52"/>
    </row>
    <row r="24" spans="1:10" ht="12" customHeight="1" x14ac:dyDescent="0.25">
      <c r="A24" s="52"/>
      <c r="B24" s="51">
        <v>11</v>
      </c>
      <c r="C24" s="52" t="s">
        <v>477</v>
      </c>
      <c r="F24" s="52"/>
      <c r="G24" s="51">
        <v>28</v>
      </c>
      <c r="H24" s="52" t="s">
        <v>494</v>
      </c>
      <c r="I24" s="52"/>
      <c r="J24" s="52"/>
    </row>
    <row r="25" spans="1:10" ht="12" customHeight="1" x14ac:dyDescent="0.25">
      <c r="A25" s="52"/>
      <c r="B25" s="51">
        <v>12</v>
      </c>
      <c r="C25" s="52" t="s">
        <v>478</v>
      </c>
      <c r="F25" s="52"/>
      <c r="G25" s="51">
        <v>29</v>
      </c>
      <c r="H25" s="52" t="s">
        <v>495</v>
      </c>
      <c r="I25" s="52"/>
      <c r="J25" s="52"/>
    </row>
    <row r="26" spans="1:10" ht="12" customHeight="1" x14ac:dyDescent="0.25">
      <c r="A26" s="52"/>
      <c r="B26" s="51">
        <v>13</v>
      </c>
      <c r="C26" s="52" t="s">
        <v>479</v>
      </c>
      <c r="F26" s="52"/>
      <c r="G26" s="51">
        <v>30</v>
      </c>
      <c r="H26" s="52" t="s">
        <v>496</v>
      </c>
      <c r="I26" s="52"/>
      <c r="J26" s="52"/>
    </row>
    <row r="27" spans="1:10" ht="12" customHeight="1" x14ac:dyDescent="0.25">
      <c r="A27" s="52"/>
      <c r="B27" s="51">
        <v>14</v>
      </c>
      <c r="C27" s="52" t="s">
        <v>480</v>
      </c>
      <c r="F27" s="52"/>
      <c r="G27" s="51">
        <v>31</v>
      </c>
      <c r="H27" s="52" t="s">
        <v>497</v>
      </c>
      <c r="I27" s="52"/>
      <c r="J27" s="52"/>
    </row>
    <row r="28" spans="1:10" ht="12" customHeight="1" x14ac:dyDescent="0.25">
      <c r="A28" s="52"/>
      <c r="B28" s="51">
        <v>15</v>
      </c>
      <c r="C28" s="52" t="s">
        <v>481</v>
      </c>
      <c r="F28" s="52"/>
      <c r="G28" s="51">
        <v>32</v>
      </c>
      <c r="H28" s="52" t="s">
        <v>498</v>
      </c>
      <c r="I28" s="52"/>
      <c r="J28" s="52"/>
    </row>
    <row r="29" spans="1:10" ht="12" customHeight="1" x14ac:dyDescent="0.25">
      <c r="A29" s="52"/>
      <c r="B29" s="51">
        <v>16</v>
      </c>
      <c r="C29" s="52" t="s">
        <v>482</v>
      </c>
      <c r="F29" s="52"/>
      <c r="G29" s="51">
        <v>33</v>
      </c>
      <c r="H29" s="52" t="s">
        <v>499</v>
      </c>
      <c r="I29" s="52"/>
      <c r="J29" s="52"/>
    </row>
    <row r="30" spans="1:10" ht="12" customHeight="1" x14ac:dyDescent="0.25">
      <c r="A30" s="52"/>
      <c r="B30" s="51">
        <v>17</v>
      </c>
      <c r="C30" s="52" t="s">
        <v>483</v>
      </c>
      <c r="F30" s="52"/>
      <c r="G30" s="51">
        <v>34</v>
      </c>
      <c r="H30" s="52" t="s">
        <v>326</v>
      </c>
      <c r="I30" s="52"/>
      <c r="J30" s="52"/>
    </row>
    <row r="31" spans="1:10" ht="12" customHeight="1" x14ac:dyDescent="0.25">
      <c r="A31" s="52"/>
      <c r="B31" s="51">
        <v>18</v>
      </c>
      <c r="C31" s="52" t="s">
        <v>484</v>
      </c>
      <c r="F31" s="52"/>
      <c r="G31" s="51">
        <v>35</v>
      </c>
      <c r="H31" s="52" t="s">
        <v>500</v>
      </c>
      <c r="I31" s="52"/>
      <c r="J31" s="52"/>
    </row>
    <row r="32" spans="1:10" ht="12" customHeight="1" x14ac:dyDescent="0.25">
      <c r="A32" s="52"/>
      <c r="B32" s="51">
        <v>19</v>
      </c>
      <c r="C32" s="52" t="s">
        <v>485</v>
      </c>
      <c r="F32" s="52"/>
      <c r="G32" s="51">
        <v>36</v>
      </c>
      <c r="H32" s="52" t="s">
        <v>501</v>
      </c>
      <c r="I32" s="52"/>
      <c r="J32" s="52"/>
    </row>
    <row r="33" spans="1:10" ht="12" customHeight="1" x14ac:dyDescent="0.25">
      <c r="A33" s="52"/>
      <c r="B33" s="51">
        <v>20</v>
      </c>
      <c r="C33" s="52" t="s">
        <v>486</v>
      </c>
      <c r="F33" s="52"/>
      <c r="G33" s="51">
        <v>37</v>
      </c>
      <c r="H33" s="52" t="s">
        <v>502</v>
      </c>
      <c r="I33" s="52"/>
      <c r="J33" s="52"/>
    </row>
    <row r="34" spans="1:10" ht="12" customHeight="1" x14ac:dyDescent="0.25">
      <c r="A34" s="52"/>
      <c r="B34" s="51">
        <v>21</v>
      </c>
      <c r="C34" s="52" t="s">
        <v>487</v>
      </c>
      <c r="F34" s="52"/>
      <c r="G34" s="51">
        <v>38</v>
      </c>
      <c r="H34" s="52" t="s">
        <v>503</v>
      </c>
      <c r="I34" s="52"/>
      <c r="J34" s="52"/>
    </row>
    <row r="35" spans="1:10" ht="12" customHeight="1" x14ac:dyDescent="0.25">
      <c r="A35" s="52"/>
      <c r="B35" s="51">
        <v>22</v>
      </c>
      <c r="C35" s="52" t="s">
        <v>488</v>
      </c>
      <c r="F35" s="52"/>
      <c r="G35" s="51">
        <v>39</v>
      </c>
      <c r="H35" s="52" t="s">
        <v>504</v>
      </c>
      <c r="I35" s="52"/>
      <c r="J35" s="52"/>
    </row>
    <row r="36" spans="1:10" ht="12" customHeight="1" x14ac:dyDescent="0.25">
      <c r="A36" s="52"/>
      <c r="B36" s="51">
        <v>23</v>
      </c>
      <c r="C36" s="52" t="s">
        <v>489</v>
      </c>
      <c r="F36" s="52"/>
      <c r="G36" s="51">
        <v>40</v>
      </c>
      <c r="H36" s="52" t="s">
        <v>516</v>
      </c>
      <c r="I36" s="52"/>
      <c r="J36" s="52"/>
    </row>
    <row r="37" spans="1:10" ht="12" customHeight="1" x14ac:dyDescent="0.25">
      <c r="A37" s="52"/>
      <c r="B37" s="51">
        <v>24</v>
      </c>
      <c r="C37" s="52" t="s">
        <v>490</v>
      </c>
      <c r="F37" s="52"/>
      <c r="G37" s="51">
        <v>41</v>
      </c>
      <c r="H37" s="52" t="s">
        <v>505</v>
      </c>
      <c r="I37" s="52"/>
      <c r="J37" s="52"/>
    </row>
    <row r="38" spans="1:10" ht="12" customHeight="1" x14ac:dyDescent="0.25">
      <c r="A38" s="52"/>
      <c r="B38" s="51">
        <v>25</v>
      </c>
      <c r="C38" s="52" t="s">
        <v>491</v>
      </c>
      <c r="F38" s="52"/>
      <c r="G38" s="51">
        <v>42</v>
      </c>
      <c r="H38" s="52" t="s">
        <v>506</v>
      </c>
      <c r="I38" s="52"/>
      <c r="J38" s="52"/>
    </row>
    <row r="39" spans="1:10" ht="12" customHeight="1" x14ac:dyDescent="0.25">
      <c r="A39" s="52"/>
      <c r="B39" s="51"/>
      <c r="C39" s="52"/>
      <c r="F39" s="52"/>
      <c r="G39" s="51">
        <v>43</v>
      </c>
      <c r="H39" s="52" t="s">
        <v>517</v>
      </c>
      <c r="I39" s="52"/>
      <c r="J39" s="52"/>
    </row>
    <row r="40" spans="1:10" ht="12" customHeight="1" x14ac:dyDescent="0.25">
      <c r="A40" s="52"/>
      <c r="B40" s="51"/>
      <c r="C40" s="52"/>
      <c r="F40" s="52"/>
      <c r="G40" s="51"/>
      <c r="H40" s="52"/>
      <c r="I40" s="52"/>
      <c r="J40" s="52"/>
    </row>
    <row r="41" spans="1:10" ht="12" customHeight="1" thickBot="1" x14ac:dyDescent="0.3">
      <c r="A41" s="47"/>
      <c r="B41" s="48" t="s">
        <v>466</v>
      </c>
      <c r="C41" s="439" t="s">
        <v>467</v>
      </c>
      <c r="D41" s="439"/>
      <c r="E41" s="439"/>
      <c r="F41" s="53"/>
      <c r="G41" s="48" t="s">
        <v>466</v>
      </c>
      <c r="H41" s="439" t="s">
        <v>467</v>
      </c>
      <c r="I41" s="439"/>
      <c r="J41" s="439"/>
    </row>
    <row r="42" spans="1:10" ht="12" customHeight="1" x14ac:dyDescent="0.25">
      <c r="A42" s="55" t="s">
        <v>518</v>
      </c>
      <c r="B42" s="51">
        <v>44</v>
      </c>
      <c r="C42" s="52" t="s">
        <v>507</v>
      </c>
      <c r="F42" s="52"/>
      <c r="G42" s="51">
        <v>48</v>
      </c>
      <c r="H42" s="52" t="s">
        <v>510</v>
      </c>
      <c r="I42" s="52"/>
      <c r="J42" s="52"/>
    </row>
    <row r="43" spans="1:10" ht="12" customHeight="1" x14ac:dyDescent="0.25">
      <c r="A43" s="55" t="s">
        <v>519</v>
      </c>
      <c r="B43" s="51">
        <v>45</v>
      </c>
      <c r="C43" s="52" t="s">
        <v>513</v>
      </c>
      <c r="F43" s="52"/>
      <c r="G43" s="51">
        <v>49</v>
      </c>
      <c r="H43" s="52" t="s">
        <v>511</v>
      </c>
      <c r="I43" s="52"/>
      <c r="J43" s="52"/>
    </row>
    <row r="44" spans="1:10" ht="12" customHeight="1" x14ac:dyDescent="0.25">
      <c r="A44" s="55" t="s">
        <v>520</v>
      </c>
      <c r="B44" s="51">
        <v>46</v>
      </c>
      <c r="C44" s="52" t="s">
        <v>508</v>
      </c>
      <c r="F44" s="52"/>
      <c r="G44" s="51">
        <v>50</v>
      </c>
      <c r="H44" s="52" t="s">
        <v>805</v>
      </c>
      <c r="I44" s="52"/>
      <c r="J44" s="52"/>
    </row>
    <row r="45" spans="1:10" ht="12" customHeight="1" x14ac:dyDescent="0.25">
      <c r="A45" s="55" t="s">
        <v>521</v>
      </c>
      <c r="B45" s="51">
        <v>47</v>
      </c>
      <c r="C45" s="52" t="s">
        <v>509</v>
      </c>
      <c r="F45" s="52"/>
      <c r="G45" s="51"/>
      <c r="H45" s="52"/>
      <c r="I45" s="52"/>
      <c r="J45" s="52"/>
    </row>
    <row r="46" spans="1:10" x14ac:dyDescent="0.25">
      <c r="A46" s="52"/>
      <c r="B46" s="52"/>
      <c r="C46" s="52"/>
      <c r="F46" s="52"/>
      <c r="G46" s="52"/>
      <c r="H46" s="52"/>
      <c r="I46" s="52"/>
      <c r="J46" s="52"/>
    </row>
    <row r="47" spans="1:10" ht="12.75" customHeight="1" x14ac:dyDescent="0.25">
      <c r="A47" s="236" t="s">
        <v>915</v>
      </c>
      <c r="B47" s="518"/>
      <c r="C47" s="518"/>
      <c r="D47" s="518"/>
      <c r="E47" s="518"/>
      <c r="F47" s="518"/>
      <c r="G47" s="518"/>
      <c r="H47" s="518"/>
      <c r="I47" s="518"/>
      <c r="J47" s="518"/>
    </row>
    <row r="48" spans="1:10" x14ac:dyDescent="0.25">
      <c r="A48" s="518"/>
      <c r="B48" s="518"/>
      <c r="C48" s="518"/>
      <c r="D48" s="518"/>
      <c r="E48" s="518"/>
      <c r="F48" s="518"/>
      <c r="G48" s="518"/>
      <c r="H48" s="518"/>
      <c r="I48" s="518"/>
      <c r="J48" s="518"/>
    </row>
    <row r="49" spans="1:11" x14ac:dyDescent="0.25">
      <c r="A49" s="518"/>
      <c r="B49" s="518"/>
      <c r="C49" s="518"/>
      <c r="D49" s="518"/>
      <c r="E49" s="518"/>
      <c r="F49" s="518"/>
      <c r="G49" s="518"/>
      <c r="H49" s="518"/>
      <c r="I49" s="518"/>
      <c r="J49" s="518"/>
    </row>
    <row r="50" spans="1:11" x14ac:dyDescent="0.25">
      <c r="A50" s="518"/>
      <c r="B50" s="518"/>
      <c r="C50" s="518"/>
      <c r="D50" s="518"/>
      <c r="E50" s="518"/>
      <c r="F50" s="518"/>
      <c r="G50" s="518"/>
      <c r="H50" s="518"/>
      <c r="I50" s="518"/>
      <c r="J50" s="518"/>
    </row>
    <row r="51" spans="1:11" x14ac:dyDescent="0.25">
      <c r="A51" s="518"/>
      <c r="B51" s="518"/>
      <c r="C51" s="518"/>
      <c r="D51" s="518"/>
      <c r="E51" s="518"/>
      <c r="F51" s="518"/>
      <c r="G51" s="518"/>
      <c r="H51" s="518"/>
      <c r="I51" s="518"/>
      <c r="J51" s="518"/>
    </row>
    <row r="52" spans="1:11" ht="12.75" hidden="1" customHeight="1" x14ac:dyDescent="0.25">
      <c r="A52" s="518"/>
      <c r="B52" s="518"/>
      <c r="C52" s="518"/>
      <c r="D52" s="518"/>
      <c r="E52" s="518"/>
      <c r="F52" s="518"/>
      <c r="G52" s="518"/>
      <c r="H52" s="518"/>
      <c r="I52" s="518"/>
      <c r="J52" s="518"/>
    </row>
    <row r="53" spans="1:11" ht="12.75" hidden="1" customHeight="1" x14ac:dyDescent="0.25">
      <c r="A53" s="518"/>
      <c r="B53" s="518"/>
      <c r="C53" s="518"/>
      <c r="D53" s="518"/>
      <c r="E53" s="518"/>
      <c r="F53" s="518"/>
      <c r="G53" s="518"/>
      <c r="H53" s="518"/>
      <c r="I53" s="518"/>
      <c r="J53" s="518"/>
    </row>
    <row r="54" spans="1:11" ht="12.75" hidden="1" customHeight="1" x14ac:dyDescent="0.25">
      <c r="A54" s="518"/>
      <c r="B54" s="518"/>
      <c r="C54" s="518"/>
      <c r="D54" s="518"/>
      <c r="E54" s="518"/>
      <c r="F54" s="518"/>
      <c r="G54" s="518"/>
      <c r="H54" s="518"/>
      <c r="I54" s="518"/>
      <c r="J54" s="518"/>
    </row>
    <row r="55" spans="1:11" ht="12.75" hidden="1" customHeight="1" x14ac:dyDescent="0.25">
      <c r="A55" s="518"/>
      <c r="B55" s="518"/>
      <c r="C55" s="518"/>
      <c r="D55" s="518"/>
      <c r="E55" s="518"/>
      <c r="F55" s="518"/>
      <c r="G55" s="518"/>
      <c r="H55" s="518"/>
      <c r="I55" s="518"/>
      <c r="J55" s="518"/>
    </row>
    <row r="56" spans="1:11" x14ac:dyDescent="0.25">
      <c r="A56" s="518"/>
      <c r="B56" s="518"/>
      <c r="C56" s="518"/>
      <c r="D56" s="518"/>
      <c r="E56" s="518"/>
      <c r="F56" s="518"/>
      <c r="G56" s="518"/>
      <c r="H56" s="518"/>
      <c r="I56" s="518"/>
      <c r="J56" s="518"/>
    </row>
    <row r="57" spans="1:11" x14ac:dyDescent="0.25">
      <c r="A57" s="505"/>
      <c r="B57" s="505"/>
      <c r="C57" s="505"/>
      <c r="D57" s="505"/>
      <c r="E57" s="505"/>
      <c r="F57" s="505"/>
      <c r="G57" s="505"/>
      <c r="H57" s="505"/>
      <c r="I57" s="505"/>
      <c r="J57" s="505"/>
      <c r="K57" s="505"/>
    </row>
    <row r="58" spans="1:11" x14ac:dyDescent="0.25">
      <c r="A58" s="505"/>
      <c r="B58" s="505"/>
      <c r="C58" s="505"/>
      <c r="D58" s="505"/>
      <c r="E58" s="505"/>
      <c r="F58" s="505"/>
      <c r="G58" s="505"/>
      <c r="H58" s="505"/>
      <c r="I58" s="505"/>
      <c r="J58" s="505"/>
      <c r="K58" s="505"/>
    </row>
    <row r="59" spans="1:11" x14ac:dyDescent="0.25">
      <c r="A59" s="209"/>
      <c r="B59" s="209"/>
      <c r="C59" s="209"/>
      <c r="D59" s="209"/>
      <c r="E59" s="209"/>
      <c r="F59" s="209"/>
      <c r="G59" s="209"/>
      <c r="H59" s="209"/>
      <c r="I59" s="209"/>
      <c r="J59" s="209"/>
      <c r="K59" s="209"/>
    </row>
    <row r="60" spans="1:11" x14ac:dyDescent="0.25">
      <c r="A60" s="122"/>
      <c r="B60" s="122"/>
      <c r="C60" s="122"/>
      <c r="D60" s="122"/>
      <c r="E60" s="122"/>
      <c r="F60" s="122"/>
      <c r="G60" s="122"/>
      <c r="H60" s="122"/>
      <c r="I60" s="122"/>
      <c r="J60" s="122"/>
    </row>
    <row r="61" spans="1:11" x14ac:dyDescent="0.25">
      <c r="A61" s="122"/>
      <c r="B61" s="122"/>
      <c r="C61" s="122"/>
      <c r="D61" s="122"/>
      <c r="E61" s="122"/>
      <c r="F61" s="122"/>
      <c r="G61" s="122"/>
      <c r="H61" s="122"/>
      <c r="I61" s="122"/>
      <c r="J61" s="122"/>
    </row>
    <row r="62" spans="1:11" x14ac:dyDescent="0.25">
      <c r="A62" s="122"/>
      <c r="B62" s="122"/>
      <c r="C62" s="122"/>
      <c r="D62" s="122"/>
      <c r="E62" s="122"/>
      <c r="F62" s="122"/>
      <c r="G62" s="122"/>
      <c r="H62" s="122"/>
      <c r="I62" s="122"/>
      <c r="J62" s="122"/>
    </row>
    <row r="63" spans="1:11" x14ac:dyDescent="0.25">
      <c r="A63" s="122"/>
      <c r="B63" s="122"/>
      <c r="C63" s="122"/>
      <c r="D63" s="122"/>
      <c r="E63" s="122"/>
      <c r="F63" s="122"/>
      <c r="G63" s="122"/>
      <c r="H63" s="122"/>
      <c r="I63" s="122"/>
      <c r="J63" s="122"/>
    </row>
    <row r="64" spans="1:11" ht="12.75" customHeight="1" x14ac:dyDescent="0.25">
      <c r="I64" s="453"/>
      <c r="J64" s="454"/>
    </row>
    <row r="65" spans="1:10" ht="15.75" customHeight="1" x14ac:dyDescent="0.3">
      <c r="A65" s="351" t="s">
        <v>848</v>
      </c>
      <c r="B65" s="352"/>
      <c r="C65" s="352"/>
      <c r="D65" s="352"/>
      <c r="E65" s="352"/>
      <c r="F65" s="352"/>
      <c r="G65" s="352"/>
      <c r="H65" s="349" t="str">
        <f>'CONTACT INFORMATION'!$A$24</f>
        <v>Fresno</v>
      </c>
      <c r="I65" s="349"/>
      <c r="J65" s="350"/>
    </row>
    <row r="66" spans="1:10" ht="12" customHeight="1" x14ac:dyDescent="0.25">
      <c r="A66" s="74"/>
      <c r="B66" s="74"/>
      <c r="C66" s="74"/>
      <c r="D66" s="74"/>
      <c r="E66" s="74"/>
      <c r="F66" s="74"/>
      <c r="G66" s="74"/>
      <c r="H66" s="74"/>
      <c r="I66" s="74"/>
      <c r="J66" s="74"/>
    </row>
    <row r="67" spans="1:10" ht="12.75" customHeight="1" x14ac:dyDescent="0.25">
      <c r="B67" s="280" t="s">
        <v>538</v>
      </c>
      <c r="C67" s="280"/>
      <c r="D67" s="280"/>
      <c r="E67" s="280"/>
      <c r="F67" s="280"/>
      <c r="G67" s="280"/>
      <c r="H67" s="280"/>
      <c r="I67" s="280"/>
      <c r="J67" s="56"/>
    </row>
    <row r="68" spans="1:10" ht="12.75" customHeight="1" x14ac:dyDescent="0.25">
      <c r="A68" s="56"/>
      <c r="B68" s="280"/>
      <c r="C68" s="280"/>
      <c r="D68" s="280"/>
      <c r="E68" s="280"/>
      <c r="F68" s="280"/>
      <c r="G68" s="280"/>
      <c r="H68" s="280"/>
      <c r="I68" s="280"/>
      <c r="J68" s="56"/>
    </row>
    <row r="69" spans="1:10" x14ac:dyDescent="0.25">
      <c r="A69" s="56"/>
      <c r="B69" s="280"/>
      <c r="C69" s="280"/>
      <c r="D69" s="280"/>
      <c r="E69" s="280"/>
      <c r="F69" s="280"/>
      <c r="G69" s="280"/>
      <c r="H69" s="280"/>
      <c r="I69" s="280"/>
      <c r="J69" s="56"/>
    </row>
    <row r="70" spans="1:10" ht="13.2" customHeight="1" x14ac:dyDescent="0.25">
      <c r="A70" s="56"/>
      <c r="B70" s="115"/>
      <c r="C70" s="115"/>
      <c r="D70" s="115"/>
      <c r="E70" s="115"/>
      <c r="F70" s="115"/>
      <c r="G70" s="115"/>
      <c r="H70" s="115"/>
      <c r="I70" s="115"/>
      <c r="J70" s="115"/>
    </row>
    <row r="71" spans="1:10" ht="12.75" customHeight="1" x14ac:dyDescent="0.25">
      <c r="A71" s="56"/>
      <c r="B71" s="280" t="s">
        <v>214</v>
      </c>
      <c r="C71" s="280"/>
      <c r="D71" s="280"/>
      <c r="E71" s="280"/>
      <c r="F71" s="280"/>
      <c r="G71" s="280"/>
      <c r="H71" s="280"/>
      <c r="I71" s="280"/>
      <c r="J71" s="56"/>
    </row>
    <row r="72" spans="1:10" ht="12.75" customHeight="1" x14ac:dyDescent="0.25">
      <c r="A72" s="56"/>
      <c r="B72" s="280"/>
      <c r="C72" s="280"/>
      <c r="D72" s="280"/>
      <c r="E72" s="280"/>
      <c r="F72" s="280"/>
      <c r="G72" s="280"/>
      <c r="H72" s="280"/>
      <c r="I72" s="280"/>
      <c r="J72" s="56"/>
    </row>
    <row r="73" spans="1:10" x14ac:dyDescent="0.25">
      <c r="A73" s="56"/>
      <c r="B73" s="280"/>
      <c r="C73" s="280"/>
      <c r="D73" s="280"/>
      <c r="E73" s="280"/>
      <c r="F73" s="280"/>
      <c r="G73" s="280"/>
      <c r="H73" s="280"/>
      <c r="I73" s="280"/>
      <c r="J73" s="56"/>
    </row>
    <row r="74" spans="1:10" ht="12.75" customHeight="1" x14ac:dyDescent="0.25">
      <c r="A74" s="56"/>
      <c r="B74" s="280"/>
      <c r="C74" s="280"/>
      <c r="D74" s="280"/>
      <c r="E74" s="280"/>
      <c r="F74" s="280"/>
      <c r="G74" s="280"/>
      <c r="H74" s="280"/>
      <c r="I74" s="280"/>
      <c r="J74" s="56"/>
    </row>
    <row r="75" spans="1:10" ht="13.2" customHeight="1" x14ac:dyDescent="0.25">
      <c r="A75" s="56"/>
      <c r="B75" s="280"/>
      <c r="C75" s="280"/>
      <c r="D75" s="280"/>
      <c r="E75" s="280"/>
      <c r="F75" s="280"/>
      <c r="G75" s="280"/>
      <c r="H75" s="280"/>
      <c r="I75" s="280"/>
      <c r="J75" s="115"/>
    </row>
    <row r="76" spans="1:10" ht="13.2" customHeight="1" x14ac:dyDescent="0.25">
      <c r="A76" s="56"/>
      <c r="B76" s="115"/>
      <c r="C76" s="115"/>
      <c r="D76" s="115"/>
      <c r="E76" s="115"/>
      <c r="F76" s="115"/>
      <c r="G76" s="115"/>
      <c r="H76" s="115"/>
      <c r="I76" s="115"/>
      <c r="J76" s="115"/>
    </row>
    <row r="77" spans="1:10" ht="12.75" customHeight="1" x14ac:dyDescent="0.25">
      <c r="A77" s="45"/>
      <c r="B77" s="280" t="s">
        <v>833</v>
      </c>
      <c r="C77" s="280"/>
      <c r="D77" s="280"/>
      <c r="E77" s="280"/>
      <c r="F77" s="280"/>
      <c r="G77" s="280"/>
      <c r="H77" s="280"/>
      <c r="I77" s="280"/>
      <c r="J77" s="56"/>
    </row>
    <row r="78" spans="1:10" ht="12.75" customHeight="1" x14ac:dyDescent="0.25">
      <c r="A78" s="45"/>
      <c r="B78" s="280"/>
      <c r="C78" s="280"/>
      <c r="D78" s="280"/>
      <c r="E78" s="280"/>
      <c r="F78" s="280"/>
      <c r="G78" s="280"/>
      <c r="H78" s="280"/>
      <c r="I78" s="280"/>
      <c r="J78" s="56"/>
    </row>
    <row r="79" spans="1:10" ht="13.2" customHeight="1" x14ac:dyDescent="0.25">
      <c r="A79" s="45"/>
      <c r="B79" s="280"/>
      <c r="C79" s="280"/>
      <c r="D79" s="280"/>
      <c r="E79" s="280"/>
      <c r="F79" s="280"/>
      <c r="G79" s="280"/>
      <c r="H79" s="280"/>
      <c r="I79" s="280"/>
      <c r="J79" s="115"/>
    </row>
    <row r="80" spans="1:10" ht="13.2" customHeight="1" x14ac:dyDescent="0.25">
      <c r="A80" s="45"/>
      <c r="B80" s="203"/>
      <c r="C80" s="203"/>
      <c r="D80" s="203"/>
      <c r="E80" s="203"/>
      <c r="F80" s="203"/>
      <c r="G80" s="203"/>
      <c r="H80" s="203"/>
      <c r="I80" s="203"/>
      <c r="J80" s="115"/>
    </row>
    <row r="81" spans="1:10" ht="12.75" customHeight="1" x14ac:dyDescent="0.25">
      <c r="A81" s="45"/>
      <c r="B81" s="517" t="s">
        <v>841</v>
      </c>
      <c r="C81" s="517"/>
      <c r="D81" s="517"/>
      <c r="E81" s="517"/>
      <c r="F81" s="517"/>
      <c r="G81" s="517"/>
      <c r="H81" s="517"/>
      <c r="I81" s="517"/>
      <c r="J81" s="56"/>
    </row>
    <row r="82" spans="1:10" x14ac:dyDescent="0.25">
      <c r="A82" s="45"/>
      <c r="B82" s="517"/>
      <c r="C82" s="517"/>
      <c r="D82" s="517"/>
      <c r="E82" s="517"/>
      <c r="F82" s="517"/>
      <c r="G82" s="517"/>
      <c r="H82" s="517"/>
      <c r="I82" s="517"/>
      <c r="J82" s="56"/>
    </row>
    <row r="83" spans="1:10" x14ac:dyDescent="0.25">
      <c r="A83" s="45"/>
      <c r="B83" s="517"/>
      <c r="C83" s="517"/>
      <c r="D83" s="517"/>
      <c r="E83" s="517"/>
      <c r="F83" s="517"/>
      <c r="G83" s="517"/>
      <c r="H83" s="517"/>
      <c r="I83" s="517"/>
      <c r="J83" s="56"/>
    </row>
    <row r="84" spans="1:10" ht="13.2" customHeight="1" x14ac:dyDescent="0.25">
      <c r="A84" s="45"/>
      <c r="B84" s="517"/>
      <c r="C84" s="517"/>
      <c r="D84" s="517"/>
      <c r="E84" s="517"/>
      <c r="F84" s="517"/>
      <c r="G84" s="517"/>
      <c r="H84" s="517"/>
      <c r="I84" s="517"/>
      <c r="J84" s="115"/>
    </row>
    <row r="85" spans="1:10" ht="13.2" customHeight="1" x14ac:dyDescent="0.25">
      <c r="A85" s="45"/>
      <c r="B85" s="115"/>
      <c r="C85" s="115"/>
      <c r="D85" s="115"/>
      <c r="E85" s="115"/>
      <c r="F85" s="115"/>
      <c r="G85" s="115"/>
      <c r="H85" s="115"/>
      <c r="I85" s="115"/>
      <c r="J85" s="115"/>
    </row>
    <row r="86" spans="1:10" ht="12.75" customHeight="1" x14ac:dyDescent="0.25">
      <c r="A86" s="45"/>
      <c r="B86" s="280" t="s">
        <v>834</v>
      </c>
      <c r="C86" s="280"/>
      <c r="D86" s="280"/>
      <c r="E86" s="280"/>
      <c r="F86" s="280"/>
      <c r="G86" s="280"/>
      <c r="H86" s="280"/>
      <c r="I86" s="280"/>
      <c r="J86" s="74"/>
    </row>
    <row r="87" spans="1:10" x14ac:dyDescent="0.25">
      <c r="A87" s="45"/>
      <c r="B87" s="280"/>
      <c r="C87" s="280"/>
      <c r="D87" s="280"/>
      <c r="E87" s="280"/>
      <c r="F87" s="280"/>
      <c r="G87" s="280"/>
      <c r="H87" s="280"/>
      <c r="I87" s="280"/>
      <c r="J87" s="74"/>
    </row>
    <row r="88" spans="1:10" x14ac:dyDescent="0.25">
      <c r="A88" s="45"/>
      <c r="B88" s="280"/>
      <c r="C88" s="280"/>
      <c r="D88" s="280"/>
      <c r="E88" s="280"/>
      <c r="F88" s="280"/>
      <c r="G88" s="280"/>
      <c r="H88" s="280"/>
      <c r="I88" s="280"/>
      <c r="J88" s="74"/>
    </row>
    <row r="89" spans="1:10" ht="13.2" customHeight="1" x14ac:dyDescent="0.25">
      <c r="A89" s="45"/>
      <c r="B89" s="201"/>
      <c r="C89" s="201"/>
      <c r="D89" s="201"/>
      <c r="E89" s="201"/>
      <c r="F89" s="201"/>
      <c r="G89" s="201"/>
      <c r="H89" s="201"/>
      <c r="I89" s="201"/>
      <c r="J89" s="201"/>
    </row>
    <row r="90" spans="1:10" ht="12.75" customHeight="1" x14ac:dyDescent="0.25">
      <c r="A90" s="45"/>
      <c r="B90" s="280" t="s">
        <v>812</v>
      </c>
      <c r="C90" s="280"/>
      <c r="D90" s="280"/>
      <c r="E90" s="280"/>
      <c r="F90" s="280"/>
      <c r="G90" s="280"/>
      <c r="H90" s="280"/>
      <c r="I90" s="280"/>
      <c r="J90" s="74"/>
    </row>
    <row r="91" spans="1:10" ht="24.75" customHeight="1" x14ac:dyDescent="0.25">
      <c r="A91" s="45"/>
      <c r="B91" s="280"/>
      <c r="C91" s="280"/>
      <c r="D91" s="280"/>
      <c r="E91" s="280"/>
      <c r="F91" s="280"/>
      <c r="G91" s="280"/>
      <c r="H91" s="280"/>
      <c r="I91" s="280"/>
      <c r="J91" s="74"/>
    </row>
    <row r="92" spans="1:10" ht="9" customHeight="1" x14ac:dyDescent="0.25">
      <c r="A92" s="45"/>
      <c r="B92" s="45"/>
      <c r="C92" s="45"/>
      <c r="D92" s="45"/>
      <c r="E92" s="45"/>
      <c r="F92" s="45"/>
      <c r="G92" s="45"/>
      <c r="H92" s="45"/>
      <c r="I92" s="45"/>
      <c r="J92" s="45"/>
    </row>
    <row r="93" spans="1:10" ht="5.0999999999999996" customHeight="1" x14ac:dyDescent="0.25">
      <c r="A93" s="45"/>
      <c r="B93" s="45"/>
      <c r="C93" s="45"/>
      <c r="D93" s="45"/>
      <c r="E93" s="45"/>
      <c r="F93" s="45"/>
      <c r="G93" s="45"/>
      <c r="H93" s="45"/>
      <c r="I93" s="45"/>
      <c r="J93" s="45"/>
    </row>
    <row r="94" spans="1:10" ht="12.75" customHeight="1" x14ac:dyDescent="0.25">
      <c r="A94" s="451" t="s">
        <v>840</v>
      </c>
      <c r="B94" s="452"/>
      <c r="C94" s="452"/>
      <c r="D94" s="452"/>
      <c r="E94" s="452"/>
      <c r="F94" s="452"/>
      <c r="G94" s="452"/>
      <c r="H94" s="452"/>
      <c r="I94" s="452"/>
      <c r="J94" s="452"/>
    </row>
    <row r="95" spans="1:10" x14ac:dyDescent="0.25">
      <c r="A95" s="452"/>
      <c r="B95" s="452"/>
      <c r="C95" s="452"/>
      <c r="D95" s="452"/>
      <c r="E95" s="452"/>
      <c r="F95" s="452"/>
      <c r="G95" s="452"/>
      <c r="H95" s="452"/>
      <c r="I95" s="452"/>
      <c r="J95" s="452"/>
    </row>
    <row r="96" spans="1:10" x14ac:dyDescent="0.25">
      <c r="A96" s="452"/>
      <c r="B96" s="452"/>
      <c r="C96" s="452"/>
      <c r="D96" s="452"/>
      <c r="E96" s="452"/>
      <c r="F96" s="452"/>
      <c r="G96" s="452"/>
      <c r="H96" s="452"/>
      <c r="I96" s="452"/>
      <c r="J96" s="452"/>
    </row>
    <row r="97" spans="1:11" ht="12.75" hidden="1" customHeight="1" x14ac:dyDescent="0.25">
      <c r="A97" s="452"/>
      <c r="B97" s="452"/>
      <c r="C97" s="452"/>
      <c r="D97" s="452"/>
      <c r="E97" s="452"/>
      <c r="F97" s="452"/>
      <c r="G97" s="452"/>
      <c r="H97" s="452"/>
      <c r="I97" s="452"/>
      <c r="J97" s="452"/>
    </row>
    <row r="98" spans="1:11" ht="12.75" hidden="1" customHeight="1" x14ac:dyDescent="0.25">
      <c r="A98" s="452"/>
      <c r="B98" s="452"/>
      <c r="C98" s="452"/>
      <c r="D98" s="452"/>
      <c r="E98" s="452"/>
      <c r="F98" s="452"/>
      <c r="G98" s="452"/>
      <c r="H98" s="452"/>
      <c r="I98" s="452"/>
      <c r="J98" s="452"/>
    </row>
    <row r="99" spans="1:11" ht="12.75" hidden="1" customHeight="1" x14ac:dyDescent="0.25">
      <c r="A99" s="452"/>
      <c r="B99" s="452"/>
      <c r="C99" s="452"/>
      <c r="D99" s="452"/>
      <c r="E99" s="452"/>
      <c r="F99" s="452"/>
      <c r="G99" s="452"/>
      <c r="H99" s="452"/>
      <c r="I99" s="452"/>
      <c r="J99" s="452"/>
    </row>
    <row r="100" spans="1:11" ht="12.75" hidden="1" customHeight="1" x14ac:dyDescent="0.25">
      <c r="A100" s="452"/>
      <c r="B100" s="452"/>
      <c r="C100" s="452"/>
      <c r="D100" s="452"/>
      <c r="E100" s="452"/>
      <c r="F100" s="452"/>
      <c r="G100" s="452"/>
      <c r="H100" s="452"/>
      <c r="I100" s="452"/>
      <c r="J100" s="452"/>
    </row>
    <row r="101" spans="1:11" ht="4.5" customHeight="1" x14ac:dyDescent="0.25">
      <c r="A101" s="452"/>
      <c r="B101" s="452"/>
      <c r="C101" s="452"/>
      <c r="D101" s="452"/>
      <c r="E101" s="452"/>
      <c r="F101" s="452"/>
      <c r="G101" s="452"/>
      <c r="H101" s="452"/>
      <c r="I101" s="452"/>
      <c r="J101" s="452"/>
    </row>
    <row r="102" spans="1:11" ht="7.5" customHeight="1" x14ac:dyDescent="0.25">
      <c r="A102" s="121"/>
      <c r="B102" s="121"/>
      <c r="C102" s="121"/>
      <c r="D102" s="121"/>
      <c r="E102" s="121"/>
      <c r="F102" s="121"/>
      <c r="G102" s="121"/>
      <c r="H102" s="121"/>
      <c r="I102" s="121"/>
      <c r="J102" s="121"/>
    </row>
    <row r="103" spans="1:11" ht="12.75" customHeight="1" x14ac:dyDescent="0.25">
      <c r="A103" s="451" t="s">
        <v>920</v>
      </c>
      <c r="B103" s="452"/>
      <c r="C103" s="452"/>
      <c r="D103" s="452"/>
      <c r="E103" s="452"/>
      <c r="F103" s="452"/>
      <c r="G103" s="452"/>
      <c r="H103" s="452"/>
      <c r="I103" s="452"/>
      <c r="J103" s="452"/>
    </row>
    <row r="104" spans="1:11" ht="12.75" customHeight="1" x14ac:dyDescent="0.25">
      <c r="A104" s="452"/>
      <c r="B104" s="452"/>
      <c r="C104" s="452"/>
      <c r="D104" s="452"/>
      <c r="E104" s="452"/>
      <c r="F104" s="452"/>
      <c r="G104" s="452"/>
      <c r="H104" s="452"/>
      <c r="I104" s="452"/>
      <c r="J104" s="452"/>
    </row>
    <row r="105" spans="1:11" ht="12.75" customHeight="1" x14ac:dyDescent="0.25">
      <c r="A105" s="452"/>
      <c r="B105" s="452"/>
      <c r="C105" s="452"/>
      <c r="D105" s="452"/>
      <c r="E105" s="452"/>
      <c r="F105" s="452"/>
      <c r="G105" s="452"/>
      <c r="H105" s="452"/>
      <c r="I105" s="452"/>
      <c r="J105" s="452"/>
    </row>
    <row r="106" spans="1:11" ht="12.75" customHeight="1" x14ac:dyDescent="0.25">
      <c r="A106" s="46"/>
      <c r="B106" s="46"/>
      <c r="C106" s="46"/>
      <c r="D106" s="46"/>
      <c r="E106" s="46"/>
      <c r="F106" s="46"/>
      <c r="G106" s="46"/>
      <c r="H106" s="46"/>
      <c r="I106" s="46"/>
      <c r="J106" s="46"/>
    </row>
    <row r="107" spans="1:11" ht="20.7" customHeight="1" x14ac:dyDescent="0.25">
      <c r="A107" s="512" t="s">
        <v>916</v>
      </c>
      <c r="B107" s="513"/>
      <c r="C107" s="513"/>
      <c r="D107" s="513"/>
      <c r="E107" s="513"/>
      <c r="F107" s="513"/>
      <c r="G107" s="513"/>
      <c r="H107" s="513"/>
      <c r="I107" s="513"/>
      <c r="J107" s="513"/>
      <c r="K107" s="513"/>
    </row>
    <row r="108" spans="1:11" ht="12.75" customHeight="1" x14ac:dyDescent="0.25">
      <c r="A108" s="46"/>
      <c r="B108" s="46"/>
      <c r="C108" s="46"/>
      <c r="D108" s="46"/>
      <c r="E108" s="46"/>
      <c r="F108" s="46"/>
      <c r="G108" s="46"/>
      <c r="H108" s="46"/>
      <c r="I108" s="46"/>
      <c r="J108" s="46"/>
    </row>
    <row r="109" spans="1:11" ht="12.75" customHeight="1" x14ac:dyDescent="0.25">
      <c r="A109" s="46"/>
      <c r="B109" s="46"/>
      <c r="C109" s="46"/>
      <c r="D109" s="46"/>
      <c r="E109" s="46"/>
      <c r="F109" s="46"/>
      <c r="G109" s="46"/>
      <c r="H109" s="46"/>
      <c r="I109" s="46"/>
      <c r="J109" s="46"/>
    </row>
    <row r="110" spans="1:11" ht="12.75" customHeight="1" x14ac:dyDescent="0.25">
      <c r="A110" s="46"/>
      <c r="B110" s="46"/>
      <c r="C110" s="46"/>
      <c r="D110" s="46"/>
      <c r="E110" s="46"/>
      <c r="F110" s="46"/>
      <c r="G110" s="46"/>
      <c r="H110" s="46"/>
      <c r="I110" s="46"/>
      <c r="J110" s="46"/>
    </row>
    <row r="111" spans="1:11" ht="12.75" customHeight="1" x14ac:dyDescent="0.25">
      <c r="A111" s="46"/>
      <c r="B111" s="46"/>
      <c r="C111" s="46"/>
      <c r="D111" s="46"/>
      <c r="E111" s="46"/>
      <c r="F111" s="46"/>
      <c r="G111" s="46"/>
      <c r="H111" s="46"/>
      <c r="I111" s="46"/>
      <c r="J111" s="46"/>
    </row>
    <row r="112" spans="1:11" ht="12.75" customHeight="1" x14ac:dyDescent="0.25">
      <c r="A112" s="46"/>
      <c r="B112" s="46"/>
      <c r="C112" s="46"/>
      <c r="D112" s="46"/>
      <c r="E112" s="46"/>
      <c r="F112" s="46"/>
      <c r="G112" s="46"/>
      <c r="H112" s="46"/>
      <c r="I112" s="46"/>
      <c r="J112" s="46"/>
    </row>
    <row r="113" spans="1:12" ht="12.75" customHeight="1" x14ac:dyDescent="0.25">
      <c r="A113" s="46"/>
      <c r="B113" s="46"/>
      <c r="C113" s="46"/>
      <c r="D113" s="46"/>
      <c r="E113" s="46"/>
      <c r="F113" s="46"/>
      <c r="G113" s="46"/>
      <c r="H113" s="46"/>
      <c r="I113" s="46"/>
      <c r="J113" s="46"/>
    </row>
    <row r="114" spans="1:12" ht="12.75" customHeight="1" x14ac:dyDescent="0.25">
      <c r="A114" s="46"/>
      <c r="B114" s="46"/>
      <c r="C114" s="46"/>
      <c r="D114" s="46"/>
      <c r="E114" s="46"/>
      <c r="F114" s="46"/>
      <c r="G114" s="46"/>
      <c r="H114" s="46"/>
      <c r="I114" s="46"/>
      <c r="J114" s="46"/>
    </row>
    <row r="115" spans="1:12" ht="12.75" customHeight="1" x14ac:dyDescent="0.25">
      <c r="A115" s="46"/>
      <c r="B115" s="46"/>
      <c r="C115" s="46"/>
      <c r="D115" s="46"/>
      <c r="E115" s="46"/>
      <c r="F115" s="46"/>
      <c r="G115" s="46"/>
      <c r="H115" s="46"/>
      <c r="I115" s="46"/>
      <c r="J115" s="46"/>
    </row>
    <row r="116" spans="1:12" ht="12.75" customHeight="1" x14ac:dyDescent="0.25">
      <c r="A116" s="46"/>
      <c r="B116" s="46"/>
      <c r="C116" s="46"/>
      <c r="D116" s="46"/>
      <c r="E116" s="46"/>
      <c r="F116" s="46"/>
      <c r="G116" s="46"/>
      <c r="H116" s="46"/>
      <c r="I116" s="46"/>
      <c r="J116" s="46"/>
    </row>
    <row r="117" spans="1:12" ht="12.75" customHeight="1" x14ac:dyDescent="0.25">
      <c r="A117" s="46"/>
      <c r="B117" s="46"/>
      <c r="C117" s="46"/>
      <c r="D117" s="46"/>
      <c r="E117" s="46"/>
      <c r="F117" s="46"/>
      <c r="G117" s="46"/>
      <c r="H117" s="46"/>
      <c r="I117" s="46"/>
      <c r="J117" s="46"/>
    </row>
    <row r="118" spans="1:12" ht="12.75" customHeight="1" x14ac:dyDescent="0.25">
      <c r="A118" s="46"/>
      <c r="B118" s="46"/>
      <c r="C118" s="46"/>
      <c r="D118" s="46"/>
      <c r="E118" s="46"/>
      <c r="F118" s="46"/>
      <c r="G118" s="46"/>
      <c r="H118" s="46"/>
      <c r="I118" s="46"/>
      <c r="J118" s="46"/>
    </row>
    <row r="119" spans="1:12" ht="12.75" customHeight="1" x14ac:dyDescent="0.25">
      <c r="A119" s="46"/>
      <c r="B119" s="46"/>
      <c r="C119" s="46"/>
      <c r="D119" s="46"/>
      <c r="E119" s="46"/>
      <c r="F119" s="46"/>
      <c r="G119" s="46"/>
      <c r="H119" s="46"/>
      <c r="I119" s="46"/>
      <c r="J119" s="46"/>
    </row>
    <row r="120" spans="1:12" ht="12.75" customHeight="1" x14ac:dyDescent="0.25">
      <c r="A120" s="46"/>
      <c r="B120" s="46"/>
      <c r="C120" s="46"/>
      <c r="D120" s="46"/>
      <c r="E120" s="46"/>
      <c r="F120" s="46"/>
      <c r="G120" s="46"/>
      <c r="H120" s="46"/>
      <c r="I120" s="46"/>
      <c r="J120" s="46"/>
    </row>
    <row r="121" spans="1:12" ht="12.75" customHeight="1" x14ac:dyDescent="0.25">
      <c r="A121" s="46"/>
      <c r="B121" s="46"/>
      <c r="C121" s="46"/>
      <c r="D121" s="46"/>
      <c r="E121" s="46"/>
      <c r="F121" s="46"/>
      <c r="G121" s="46"/>
      <c r="H121" s="46"/>
      <c r="I121" s="46"/>
      <c r="J121" s="46"/>
    </row>
    <row r="122" spans="1:12" ht="12.75" customHeight="1" x14ac:dyDescent="0.25">
      <c r="A122" s="46"/>
      <c r="B122" s="46"/>
      <c r="C122" s="46"/>
      <c r="D122" s="46"/>
      <c r="E122" s="46"/>
      <c r="F122" s="46"/>
      <c r="G122" s="46"/>
      <c r="H122" s="46"/>
      <c r="I122" s="46"/>
      <c r="J122" s="46"/>
    </row>
    <row r="123" spans="1:12" ht="12.75" customHeight="1" x14ac:dyDescent="0.25">
      <c r="A123" s="46"/>
      <c r="B123" s="46"/>
      <c r="C123" s="46"/>
      <c r="D123" s="46"/>
      <c r="E123" s="46"/>
      <c r="F123" s="46"/>
      <c r="G123" s="46"/>
      <c r="H123" s="46"/>
      <c r="I123" s="46"/>
      <c r="J123" s="46"/>
    </row>
    <row r="124" spans="1:12" ht="12.75" customHeight="1" x14ac:dyDescent="0.25">
      <c r="A124" s="46"/>
      <c r="B124" s="46"/>
      <c r="C124" s="46"/>
      <c r="D124" s="46"/>
      <c r="E124" s="46"/>
      <c r="F124" s="46"/>
      <c r="G124" s="46"/>
      <c r="H124" s="46"/>
      <c r="I124" s="46"/>
      <c r="J124" s="46"/>
    </row>
    <row r="125" spans="1:12" ht="15.6" x14ac:dyDescent="0.3">
      <c r="A125" s="351" t="s">
        <v>848</v>
      </c>
      <c r="B125" s="352"/>
      <c r="C125" s="352"/>
      <c r="D125" s="352"/>
      <c r="E125" s="352"/>
      <c r="F125" s="352"/>
      <c r="G125" s="352"/>
      <c r="H125" s="349" t="str">
        <f>'CONTACT INFORMATION'!$A$24</f>
        <v>Fresno</v>
      </c>
      <c r="I125" s="349"/>
      <c r="J125" s="350"/>
      <c r="K125" s="189"/>
      <c r="L125" s="189"/>
    </row>
    <row r="126" spans="1:12" ht="8.6999999999999993" customHeight="1" x14ac:dyDescent="0.3">
      <c r="A126" s="57"/>
      <c r="B126" s="57"/>
      <c r="C126" s="57"/>
      <c r="D126" s="57"/>
      <c r="E126" s="57"/>
      <c r="F126" s="57"/>
      <c r="G126" s="57"/>
      <c r="H126" s="57"/>
      <c r="I126" s="57"/>
      <c r="J126" s="57"/>
      <c r="K126" s="189"/>
      <c r="L126" s="189"/>
    </row>
    <row r="127" spans="1:12" ht="13.8" x14ac:dyDescent="0.25">
      <c r="A127" s="458" t="s">
        <v>807</v>
      </c>
      <c r="B127" s="459"/>
      <c r="C127" s="459"/>
      <c r="D127" s="459"/>
      <c r="E127" s="459"/>
      <c r="F127" s="459"/>
      <c r="G127" s="459"/>
      <c r="H127" s="459"/>
      <c r="I127" s="459"/>
      <c r="J127" s="460"/>
    </row>
    <row r="128" spans="1:12" ht="12.75" customHeight="1" x14ac:dyDescent="0.25">
      <c r="A128" s="455" t="s">
        <v>854</v>
      </c>
      <c r="B128" s="456"/>
      <c r="C128" s="456"/>
      <c r="D128" s="457"/>
      <c r="E128" s="506" t="s">
        <v>928</v>
      </c>
      <c r="F128" s="507"/>
      <c r="G128" s="507"/>
      <c r="H128" s="507"/>
      <c r="I128" s="507"/>
      <c r="J128" s="508"/>
    </row>
    <row r="129" spans="1:16" ht="12.75" customHeight="1" x14ac:dyDescent="0.25">
      <c r="A129" s="495" t="s">
        <v>912</v>
      </c>
      <c r="B129" s="496"/>
      <c r="C129" s="496"/>
      <c r="D129" s="497"/>
      <c r="E129" s="509"/>
      <c r="F129" s="510"/>
      <c r="G129" s="510"/>
      <c r="H129" s="510"/>
      <c r="I129" s="510"/>
      <c r="J129" s="511"/>
    </row>
    <row r="130" spans="1:16" x14ac:dyDescent="0.25">
      <c r="A130" s="498" t="s">
        <v>913</v>
      </c>
      <c r="B130" s="499"/>
      <c r="C130" s="499"/>
      <c r="D130" s="499"/>
      <c r="E130" s="514" t="s">
        <v>470</v>
      </c>
      <c r="F130" s="515"/>
      <c r="G130" s="515"/>
      <c r="H130" s="515"/>
      <c r="I130" s="515"/>
      <c r="J130" s="516"/>
    </row>
    <row r="131" spans="1:16" ht="27" customHeight="1" x14ac:dyDescent="0.25">
      <c r="A131" s="58"/>
      <c r="B131" s="59"/>
      <c r="C131" s="59"/>
      <c r="D131" s="59"/>
      <c r="E131" s="474" t="s">
        <v>535</v>
      </c>
      <c r="F131" s="475"/>
      <c r="G131" s="474" t="s">
        <v>533</v>
      </c>
      <c r="H131" s="475"/>
      <c r="I131" s="476" t="s">
        <v>849</v>
      </c>
      <c r="J131" s="477"/>
    </row>
    <row r="132" spans="1:16" x14ac:dyDescent="0.25">
      <c r="A132" s="502" t="s">
        <v>527</v>
      </c>
      <c r="B132" s="502"/>
      <c r="C132" s="502"/>
      <c r="D132" s="502"/>
      <c r="E132" s="449"/>
      <c r="F132" s="449"/>
      <c r="G132" s="449">
        <f>3140553+133869</f>
        <v>3274422</v>
      </c>
      <c r="H132" s="449"/>
      <c r="I132" s="450"/>
      <c r="J132" s="450"/>
    </row>
    <row r="133" spans="1:16" x14ac:dyDescent="0.25">
      <c r="A133" s="503" t="s">
        <v>528</v>
      </c>
      <c r="B133" s="503"/>
      <c r="C133" s="503"/>
      <c r="D133" s="503"/>
      <c r="E133" s="432"/>
      <c r="F133" s="432"/>
      <c r="G133" s="433">
        <f>1268709</f>
        <v>1268709</v>
      </c>
      <c r="H133" s="433"/>
      <c r="I133" s="448"/>
      <c r="J133" s="448"/>
    </row>
    <row r="134" spans="1:16" x14ac:dyDescent="0.25">
      <c r="A134" s="502" t="s">
        <v>529</v>
      </c>
      <c r="B134" s="502"/>
      <c r="C134" s="502"/>
      <c r="D134" s="502"/>
      <c r="E134" s="449"/>
      <c r="F134" s="449"/>
      <c r="G134" s="449">
        <v>244428</v>
      </c>
      <c r="H134" s="449"/>
      <c r="I134" s="450"/>
      <c r="J134" s="450"/>
    </row>
    <row r="135" spans="1:16" x14ac:dyDescent="0.25">
      <c r="A135" s="503" t="s">
        <v>530</v>
      </c>
      <c r="B135" s="503"/>
      <c r="C135" s="503"/>
      <c r="D135" s="503"/>
      <c r="E135" s="432"/>
      <c r="F135" s="432"/>
      <c r="G135" s="433">
        <v>110449</v>
      </c>
      <c r="H135" s="433"/>
      <c r="I135" s="448"/>
      <c r="J135" s="448"/>
    </row>
    <row r="136" spans="1:16" x14ac:dyDescent="0.25">
      <c r="A136" s="502" t="s">
        <v>531</v>
      </c>
      <c r="B136" s="502"/>
      <c r="C136" s="502"/>
      <c r="D136" s="502"/>
      <c r="E136" s="449"/>
      <c r="F136" s="449"/>
      <c r="G136" s="449"/>
      <c r="H136" s="449"/>
      <c r="I136" s="450"/>
      <c r="J136" s="450"/>
    </row>
    <row r="137" spans="1:16" x14ac:dyDescent="0.25">
      <c r="A137" s="503" t="s">
        <v>532</v>
      </c>
      <c r="B137" s="503"/>
      <c r="C137" s="503"/>
      <c r="D137" s="503"/>
      <c r="E137" s="432"/>
      <c r="F137" s="432"/>
      <c r="G137" s="433"/>
      <c r="H137" s="433"/>
      <c r="I137" s="448"/>
      <c r="J137" s="448"/>
    </row>
    <row r="138" spans="1:16" x14ac:dyDescent="0.25">
      <c r="A138" s="501" t="s">
        <v>537</v>
      </c>
      <c r="B138" s="502"/>
      <c r="C138" s="502"/>
      <c r="D138" s="502"/>
      <c r="E138" s="444"/>
      <c r="F138" s="444"/>
      <c r="G138" s="444"/>
      <c r="H138" s="444"/>
      <c r="I138" s="438"/>
      <c r="J138" s="438"/>
    </row>
    <row r="139" spans="1:16" x14ac:dyDescent="0.25">
      <c r="A139" s="440"/>
      <c r="B139" s="430"/>
      <c r="C139" s="430"/>
      <c r="D139" s="431"/>
      <c r="E139" s="432"/>
      <c r="F139" s="432"/>
      <c r="G139" s="433"/>
      <c r="H139" s="433"/>
      <c r="I139" s="433"/>
      <c r="J139" s="433"/>
    </row>
    <row r="140" spans="1:16" x14ac:dyDescent="0.25">
      <c r="A140" s="440"/>
      <c r="B140" s="430"/>
      <c r="C140" s="430"/>
      <c r="D140" s="431"/>
      <c r="E140" s="432"/>
      <c r="F140" s="432"/>
      <c r="G140" s="433"/>
      <c r="H140" s="433"/>
      <c r="I140" s="433"/>
      <c r="J140" s="433"/>
    </row>
    <row r="141" spans="1:16" ht="12.75" customHeight="1" x14ac:dyDescent="0.25">
      <c r="A141" s="440"/>
      <c r="B141" s="430"/>
      <c r="C141" s="430"/>
      <c r="D141" s="431"/>
      <c r="E141" s="432"/>
      <c r="F141" s="432"/>
      <c r="G141" s="433"/>
      <c r="H141" s="433"/>
      <c r="I141" s="433"/>
      <c r="J141" s="433"/>
      <c r="P141" s="221"/>
    </row>
    <row r="142" spans="1:16" x14ac:dyDescent="0.25">
      <c r="A142" s="470" t="s">
        <v>534</v>
      </c>
      <c r="B142" s="470"/>
      <c r="C142" s="470"/>
      <c r="D142" s="470"/>
      <c r="E142" s="437">
        <f>SUM(E132:E141)</f>
        <v>0</v>
      </c>
      <c r="F142" s="437"/>
      <c r="G142" s="437">
        <f>SUM(G132:G141)</f>
        <v>4898008</v>
      </c>
      <c r="H142" s="437"/>
      <c r="I142" s="437">
        <f>SUM(I132:I141)</f>
        <v>0</v>
      </c>
      <c r="J142" s="437"/>
      <c r="L142" s="131"/>
    </row>
    <row r="143" spans="1:16" ht="14.25" customHeight="1" x14ac:dyDescent="0.25">
      <c r="A143" s="486" t="s">
        <v>861</v>
      </c>
      <c r="B143" s="487"/>
      <c r="C143" s="487"/>
      <c r="D143" s="487"/>
      <c r="E143" s="487"/>
      <c r="F143" s="487"/>
      <c r="G143" s="487"/>
      <c r="H143" s="487"/>
      <c r="I143" s="487"/>
      <c r="J143" s="488"/>
      <c r="L143" s="131"/>
    </row>
    <row r="144" spans="1:16" ht="14.25" customHeight="1" x14ac:dyDescent="0.25">
      <c r="A144" s="489" t="s">
        <v>862</v>
      </c>
      <c r="B144" s="490"/>
      <c r="C144" s="490"/>
      <c r="D144" s="490"/>
      <c r="E144" s="490"/>
      <c r="F144" s="490"/>
      <c r="G144" s="490"/>
      <c r="H144" s="490"/>
      <c r="I144" s="490"/>
      <c r="J144" s="491"/>
      <c r="L144" s="131"/>
    </row>
    <row r="145" spans="1:12" ht="14.25" customHeight="1" x14ac:dyDescent="0.25">
      <c r="A145" s="489" t="s">
        <v>863</v>
      </c>
      <c r="B145" s="490"/>
      <c r="C145" s="490"/>
      <c r="D145" s="490"/>
      <c r="E145" s="490"/>
      <c r="F145" s="490"/>
      <c r="G145" s="490"/>
      <c r="H145" s="490"/>
      <c r="I145" s="490"/>
      <c r="J145" s="491"/>
      <c r="L145" s="131"/>
    </row>
    <row r="146" spans="1:12" ht="14.25" customHeight="1" x14ac:dyDescent="0.25">
      <c r="A146" s="492" t="s">
        <v>864</v>
      </c>
      <c r="B146" s="493"/>
      <c r="C146" s="493"/>
      <c r="D146" s="493"/>
      <c r="E146" s="493"/>
      <c r="F146" s="493"/>
      <c r="G146" s="493"/>
      <c r="H146" s="493"/>
      <c r="I146" s="493"/>
      <c r="J146" s="494"/>
      <c r="L146" s="131"/>
    </row>
    <row r="147" spans="1:12" ht="15" customHeight="1" x14ac:dyDescent="0.25">
      <c r="A147" s="461" t="s">
        <v>938</v>
      </c>
      <c r="B147" s="462"/>
      <c r="C147" s="462"/>
      <c r="D147" s="462"/>
      <c r="E147" s="462"/>
      <c r="F147" s="462"/>
      <c r="G147" s="462"/>
      <c r="H147" s="462"/>
      <c r="I147" s="462"/>
      <c r="J147" s="463"/>
      <c r="L147" s="131"/>
    </row>
    <row r="148" spans="1:12" ht="15" customHeight="1" x14ac:dyDescent="0.25">
      <c r="A148" s="464"/>
      <c r="B148" s="465"/>
      <c r="C148" s="465"/>
      <c r="D148" s="465"/>
      <c r="E148" s="465"/>
      <c r="F148" s="465"/>
      <c r="G148" s="465"/>
      <c r="H148" s="465"/>
      <c r="I148" s="465"/>
      <c r="J148" s="466"/>
    </row>
    <row r="149" spans="1:12" ht="15" customHeight="1" x14ac:dyDescent="0.25">
      <c r="A149" s="464"/>
      <c r="B149" s="465"/>
      <c r="C149" s="465"/>
      <c r="D149" s="465"/>
      <c r="E149" s="465"/>
      <c r="F149" s="465"/>
      <c r="G149" s="465"/>
      <c r="H149" s="465"/>
      <c r="I149" s="465"/>
      <c r="J149" s="466"/>
    </row>
    <row r="150" spans="1:12" ht="15" customHeight="1" x14ac:dyDescent="0.25">
      <c r="A150" s="464"/>
      <c r="B150" s="465"/>
      <c r="C150" s="465"/>
      <c r="D150" s="465"/>
      <c r="E150" s="465"/>
      <c r="F150" s="465"/>
      <c r="G150" s="465"/>
      <c r="H150" s="465"/>
      <c r="I150" s="465"/>
      <c r="J150" s="466"/>
    </row>
    <row r="151" spans="1:12" ht="15" customHeight="1" x14ac:dyDescent="0.25">
      <c r="A151" s="464"/>
      <c r="B151" s="465"/>
      <c r="C151" s="465"/>
      <c r="D151" s="465"/>
      <c r="E151" s="465"/>
      <c r="F151" s="465"/>
      <c r="G151" s="465"/>
      <c r="H151" s="465"/>
      <c r="I151" s="465"/>
      <c r="J151" s="466"/>
    </row>
    <row r="152" spans="1:12" ht="15" customHeight="1" x14ac:dyDescent="0.25">
      <c r="A152" s="464"/>
      <c r="B152" s="465"/>
      <c r="C152" s="465"/>
      <c r="D152" s="465"/>
      <c r="E152" s="465"/>
      <c r="F152" s="465"/>
      <c r="G152" s="465"/>
      <c r="H152" s="465"/>
      <c r="I152" s="465"/>
      <c r="J152" s="466"/>
    </row>
    <row r="153" spans="1:12" ht="15" customHeight="1" x14ac:dyDescent="0.25">
      <c r="A153" s="464"/>
      <c r="B153" s="465"/>
      <c r="C153" s="465"/>
      <c r="D153" s="465"/>
      <c r="E153" s="465"/>
      <c r="F153" s="465"/>
      <c r="G153" s="465"/>
      <c r="H153" s="465"/>
      <c r="I153" s="465"/>
      <c r="J153" s="466"/>
    </row>
    <row r="154" spans="1:12" ht="15" customHeight="1" x14ac:dyDescent="0.25">
      <c r="A154" s="464"/>
      <c r="B154" s="465"/>
      <c r="C154" s="465"/>
      <c r="D154" s="465"/>
      <c r="E154" s="465"/>
      <c r="F154" s="465"/>
      <c r="G154" s="465"/>
      <c r="H154" s="465"/>
      <c r="I154" s="465"/>
      <c r="J154" s="466"/>
    </row>
    <row r="155" spans="1:12" ht="15" customHeight="1" x14ac:dyDescent="0.25">
      <c r="A155" s="464"/>
      <c r="B155" s="465"/>
      <c r="C155" s="465"/>
      <c r="D155" s="465"/>
      <c r="E155" s="465"/>
      <c r="F155" s="465"/>
      <c r="G155" s="465"/>
      <c r="H155" s="465"/>
      <c r="I155" s="465"/>
      <c r="J155" s="466"/>
    </row>
    <row r="156" spans="1:12" ht="15" customHeight="1" x14ac:dyDescent="0.25">
      <c r="A156" s="464"/>
      <c r="B156" s="465"/>
      <c r="C156" s="465"/>
      <c r="D156" s="465"/>
      <c r="E156" s="465"/>
      <c r="F156" s="465"/>
      <c r="G156" s="465"/>
      <c r="H156" s="465"/>
      <c r="I156" s="465"/>
      <c r="J156" s="466"/>
    </row>
    <row r="157" spans="1:12" ht="15" customHeight="1" x14ac:dyDescent="0.25">
      <c r="A157" s="464"/>
      <c r="B157" s="465"/>
      <c r="C157" s="465"/>
      <c r="D157" s="465"/>
      <c r="E157" s="465"/>
      <c r="F157" s="465"/>
      <c r="G157" s="465"/>
      <c r="H157" s="465"/>
      <c r="I157" s="465"/>
      <c r="J157" s="466"/>
      <c r="L157" s="131"/>
    </row>
    <row r="158" spans="1:12" ht="15" customHeight="1" x14ac:dyDescent="0.25">
      <c r="A158" s="464"/>
      <c r="B158" s="465"/>
      <c r="C158" s="465"/>
      <c r="D158" s="465"/>
      <c r="E158" s="465"/>
      <c r="F158" s="465"/>
      <c r="G158" s="465"/>
      <c r="H158" s="465"/>
      <c r="I158" s="465"/>
      <c r="J158" s="466"/>
      <c r="L158" s="131"/>
    </row>
    <row r="159" spans="1:12" ht="15" customHeight="1" x14ac:dyDescent="0.25">
      <c r="A159" s="464"/>
      <c r="B159" s="465"/>
      <c r="C159" s="465"/>
      <c r="D159" s="465"/>
      <c r="E159" s="465"/>
      <c r="F159" s="465"/>
      <c r="G159" s="465"/>
      <c r="H159" s="465"/>
      <c r="I159" s="465"/>
      <c r="J159" s="466"/>
      <c r="L159" s="131"/>
    </row>
    <row r="160" spans="1:12" ht="15" customHeight="1" x14ac:dyDescent="0.25">
      <c r="A160" s="464"/>
      <c r="B160" s="465"/>
      <c r="C160" s="465"/>
      <c r="D160" s="465"/>
      <c r="E160" s="465"/>
      <c r="F160" s="465"/>
      <c r="G160" s="465"/>
      <c r="H160" s="465"/>
      <c r="I160" s="465"/>
      <c r="J160" s="466"/>
      <c r="L160" s="131"/>
    </row>
    <row r="161" spans="1:12" ht="15" customHeight="1" x14ac:dyDescent="0.25">
      <c r="A161" s="464"/>
      <c r="B161" s="465"/>
      <c r="C161" s="465"/>
      <c r="D161" s="465"/>
      <c r="E161" s="465"/>
      <c r="F161" s="465"/>
      <c r="G161" s="465"/>
      <c r="H161" s="465"/>
      <c r="I161" s="465"/>
      <c r="J161" s="466"/>
      <c r="L161" s="131"/>
    </row>
    <row r="162" spans="1:12" ht="15" customHeight="1" x14ac:dyDescent="0.25">
      <c r="A162" s="464"/>
      <c r="B162" s="465"/>
      <c r="C162" s="465"/>
      <c r="D162" s="465"/>
      <c r="E162" s="465"/>
      <c r="F162" s="465"/>
      <c r="G162" s="465"/>
      <c r="H162" s="465"/>
      <c r="I162" s="465"/>
      <c r="J162" s="466"/>
      <c r="L162" s="131"/>
    </row>
    <row r="163" spans="1:12" ht="15" customHeight="1" x14ac:dyDescent="0.25">
      <c r="A163" s="464"/>
      <c r="B163" s="465"/>
      <c r="C163" s="465"/>
      <c r="D163" s="465"/>
      <c r="E163" s="465"/>
      <c r="F163" s="465"/>
      <c r="G163" s="465"/>
      <c r="H163" s="465"/>
      <c r="I163" s="465"/>
      <c r="J163" s="466"/>
      <c r="L163" s="131"/>
    </row>
    <row r="164" spans="1:12" ht="15" customHeight="1" x14ac:dyDescent="0.25">
      <c r="A164" s="464"/>
      <c r="B164" s="465"/>
      <c r="C164" s="465"/>
      <c r="D164" s="465"/>
      <c r="E164" s="465"/>
      <c r="F164" s="465"/>
      <c r="G164" s="465"/>
      <c r="H164" s="465"/>
      <c r="I164" s="465"/>
      <c r="J164" s="466"/>
      <c r="L164" s="131"/>
    </row>
    <row r="165" spans="1:12" ht="15" customHeight="1" x14ac:dyDescent="0.25">
      <c r="A165" s="464"/>
      <c r="B165" s="465"/>
      <c r="C165" s="465"/>
      <c r="D165" s="465"/>
      <c r="E165" s="465"/>
      <c r="F165" s="465"/>
      <c r="G165" s="465"/>
      <c r="H165" s="465"/>
      <c r="I165" s="465"/>
      <c r="J165" s="466"/>
      <c r="L165" s="131"/>
    </row>
    <row r="166" spans="1:12" ht="15" customHeight="1" x14ac:dyDescent="0.25">
      <c r="A166" s="464"/>
      <c r="B166" s="465"/>
      <c r="C166" s="465"/>
      <c r="D166" s="465"/>
      <c r="E166" s="465"/>
      <c r="F166" s="465"/>
      <c r="G166" s="465"/>
      <c r="H166" s="465"/>
      <c r="I166" s="465"/>
      <c r="J166" s="466"/>
      <c r="L166" s="131"/>
    </row>
    <row r="167" spans="1:12" ht="15" customHeight="1" x14ac:dyDescent="0.25">
      <c r="A167" s="464"/>
      <c r="B167" s="465"/>
      <c r="C167" s="465"/>
      <c r="D167" s="465"/>
      <c r="E167" s="465"/>
      <c r="F167" s="465"/>
      <c r="G167" s="465"/>
      <c r="H167" s="465"/>
      <c r="I167" s="465"/>
      <c r="J167" s="466"/>
      <c r="L167" s="131"/>
    </row>
    <row r="168" spans="1:12" ht="15" customHeight="1" x14ac:dyDescent="0.25">
      <c r="A168" s="464"/>
      <c r="B168" s="465"/>
      <c r="C168" s="465"/>
      <c r="D168" s="465"/>
      <c r="E168" s="465"/>
      <c r="F168" s="465"/>
      <c r="G168" s="465"/>
      <c r="H168" s="465"/>
      <c r="I168" s="465"/>
      <c r="J168" s="466"/>
      <c r="L168" s="131"/>
    </row>
    <row r="169" spans="1:12" ht="15" customHeight="1" x14ac:dyDescent="0.25">
      <c r="A169" s="464"/>
      <c r="B169" s="465"/>
      <c r="C169" s="465"/>
      <c r="D169" s="465"/>
      <c r="E169" s="465"/>
      <c r="F169" s="465"/>
      <c r="G169" s="465"/>
      <c r="H169" s="465"/>
      <c r="I169" s="465"/>
      <c r="J169" s="466"/>
      <c r="L169" s="131"/>
    </row>
    <row r="170" spans="1:12" ht="15" customHeight="1" x14ac:dyDescent="0.25">
      <c r="A170" s="464"/>
      <c r="B170" s="465"/>
      <c r="C170" s="465"/>
      <c r="D170" s="465"/>
      <c r="E170" s="465"/>
      <c r="F170" s="465"/>
      <c r="G170" s="465"/>
      <c r="H170" s="465"/>
      <c r="I170" s="465"/>
      <c r="J170" s="466"/>
      <c r="K170" s="189"/>
      <c r="L170" s="189"/>
    </row>
    <row r="171" spans="1:12" ht="15" customHeight="1" x14ac:dyDescent="0.25">
      <c r="A171" s="464"/>
      <c r="B171" s="465"/>
      <c r="C171" s="465"/>
      <c r="D171" s="465"/>
      <c r="E171" s="465"/>
      <c r="F171" s="465"/>
      <c r="G171" s="465"/>
      <c r="H171" s="465"/>
      <c r="I171" s="465"/>
      <c r="J171" s="466"/>
    </row>
    <row r="172" spans="1:12" ht="15" customHeight="1" x14ac:dyDescent="0.25">
      <c r="A172" s="464"/>
      <c r="B172" s="465"/>
      <c r="C172" s="465"/>
      <c r="D172" s="465"/>
      <c r="E172" s="465"/>
      <c r="F172" s="465"/>
      <c r="G172" s="465"/>
      <c r="H172" s="465"/>
      <c r="I172" s="465"/>
      <c r="J172" s="466"/>
    </row>
    <row r="173" spans="1:12" ht="15" customHeight="1" x14ac:dyDescent="0.25">
      <c r="A173" s="464"/>
      <c r="B173" s="465"/>
      <c r="C173" s="465"/>
      <c r="D173" s="465"/>
      <c r="E173" s="465"/>
      <c r="F173" s="465"/>
      <c r="G173" s="465"/>
      <c r="H173" s="465"/>
      <c r="I173" s="465"/>
      <c r="J173" s="466"/>
    </row>
    <row r="174" spans="1:12" ht="15" customHeight="1" x14ac:dyDescent="0.25">
      <c r="A174" s="467"/>
      <c r="B174" s="468"/>
      <c r="C174" s="468"/>
      <c r="D174" s="468"/>
      <c r="E174" s="468"/>
      <c r="F174" s="468"/>
      <c r="G174" s="468"/>
      <c r="H174" s="468"/>
      <c r="I174" s="468"/>
      <c r="J174" s="469"/>
    </row>
    <row r="175" spans="1:12" ht="15" customHeight="1" x14ac:dyDescent="0.25">
      <c r="A175" s="187"/>
      <c r="B175" s="187"/>
      <c r="C175" s="187"/>
      <c r="D175" s="187"/>
      <c r="E175" s="187"/>
      <c r="F175" s="187"/>
      <c r="G175" s="187"/>
      <c r="H175" s="187"/>
      <c r="I175" s="187"/>
      <c r="J175" s="187"/>
    </row>
    <row r="176" spans="1:12" ht="15" customHeight="1" x14ac:dyDescent="0.25">
      <c r="A176" s="187"/>
      <c r="B176" s="187"/>
      <c r="C176" s="187"/>
      <c r="D176" s="187"/>
      <c r="E176" s="187"/>
      <c r="F176" s="187"/>
      <c r="G176" s="187"/>
      <c r="H176" s="187"/>
      <c r="I176" s="187"/>
      <c r="J176" s="187"/>
    </row>
    <row r="177" spans="1:20" ht="15.6" x14ac:dyDescent="0.3">
      <c r="A177" s="351" t="s">
        <v>848</v>
      </c>
      <c r="B177" s="352"/>
      <c r="C177" s="352"/>
      <c r="D177" s="352"/>
      <c r="E177" s="352"/>
      <c r="F177" s="352"/>
      <c r="G177" s="352"/>
      <c r="H177" s="349" t="str">
        <f>'CONTACT INFORMATION'!$A$24</f>
        <v>Fresno</v>
      </c>
      <c r="I177" s="349"/>
      <c r="J177" s="350"/>
      <c r="K177" s="222"/>
      <c r="L177" s="222"/>
      <c r="M177" s="222"/>
      <c r="N177" s="222"/>
      <c r="O177" s="222"/>
      <c r="P177" s="222"/>
      <c r="Q177" s="222"/>
      <c r="R177" s="222"/>
      <c r="S177" s="222"/>
      <c r="T177" s="158"/>
    </row>
    <row r="178" spans="1:20" ht="8.1" customHeight="1" x14ac:dyDescent="0.25">
      <c r="A178" s="163"/>
      <c r="B178" s="163"/>
      <c r="C178" s="163"/>
      <c r="D178" s="163"/>
      <c r="E178" s="163"/>
      <c r="F178" s="163"/>
      <c r="G178" s="163"/>
      <c r="H178" s="163"/>
      <c r="I178" s="163"/>
      <c r="J178" s="163"/>
    </row>
    <row r="179" spans="1:20" ht="13.8" x14ac:dyDescent="0.25">
      <c r="A179" s="458" t="s">
        <v>809</v>
      </c>
      <c r="B179" s="459"/>
      <c r="C179" s="459"/>
      <c r="D179" s="459"/>
      <c r="E179" s="459"/>
      <c r="F179" s="459"/>
      <c r="G179" s="459"/>
      <c r="H179" s="459"/>
      <c r="I179" s="459"/>
      <c r="J179" s="460"/>
    </row>
    <row r="180" spans="1:20" ht="12.75" customHeight="1" x14ac:dyDescent="0.25">
      <c r="A180" s="455" t="s">
        <v>854</v>
      </c>
      <c r="B180" s="456"/>
      <c r="C180" s="456"/>
      <c r="D180" s="457"/>
      <c r="E180" s="506" t="s">
        <v>489</v>
      </c>
      <c r="F180" s="507"/>
      <c r="G180" s="507"/>
      <c r="H180" s="507"/>
      <c r="I180" s="507"/>
      <c r="J180" s="508"/>
    </row>
    <row r="181" spans="1:20" ht="12.75" customHeight="1" x14ac:dyDescent="0.25">
      <c r="A181" s="495" t="s">
        <v>912</v>
      </c>
      <c r="B181" s="496"/>
      <c r="C181" s="496"/>
      <c r="D181" s="497"/>
      <c r="E181" s="509"/>
      <c r="F181" s="510"/>
      <c r="G181" s="510"/>
      <c r="H181" s="510"/>
      <c r="I181" s="510"/>
      <c r="J181" s="511"/>
    </row>
    <row r="182" spans="1:20" x14ac:dyDescent="0.25">
      <c r="A182" s="498" t="s">
        <v>913</v>
      </c>
      <c r="B182" s="499"/>
      <c r="C182" s="499"/>
      <c r="D182" s="499"/>
      <c r="E182" s="471" t="s">
        <v>489</v>
      </c>
      <c r="F182" s="472"/>
      <c r="G182" s="472"/>
      <c r="H182" s="472"/>
      <c r="I182" s="472"/>
      <c r="J182" s="473"/>
    </row>
    <row r="183" spans="1:20" s="158" customFormat="1" ht="27" customHeight="1" x14ac:dyDescent="0.25">
      <c r="A183" s="157"/>
      <c r="B183" s="208"/>
      <c r="C183" s="208"/>
      <c r="D183" s="208"/>
      <c r="E183" s="474" t="s">
        <v>535</v>
      </c>
      <c r="F183" s="475"/>
      <c r="G183" s="474" t="s">
        <v>533</v>
      </c>
      <c r="H183" s="475"/>
      <c r="I183" s="476" t="s">
        <v>849</v>
      </c>
      <c r="J183" s="477"/>
      <c r="K183" s="39"/>
      <c r="L183" s="39"/>
      <c r="M183" s="39"/>
      <c r="N183" s="39"/>
      <c r="O183" s="39"/>
      <c r="P183" s="39"/>
      <c r="Q183" s="39"/>
      <c r="R183" s="39"/>
      <c r="S183" s="39"/>
      <c r="T183"/>
    </row>
    <row r="184" spans="1:20" x14ac:dyDescent="0.25">
      <c r="A184" s="441" t="s">
        <v>527</v>
      </c>
      <c r="B184" s="442"/>
      <c r="C184" s="442"/>
      <c r="D184" s="443"/>
      <c r="E184" s="449"/>
      <c r="F184" s="449"/>
      <c r="G184" s="449">
        <v>607172</v>
      </c>
      <c r="H184" s="449"/>
      <c r="I184" s="450"/>
      <c r="J184" s="450"/>
    </row>
    <row r="185" spans="1:20" x14ac:dyDescent="0.25">
      <c r="A185" s="445" t="s">
        <v>528</v>
      </c>
      <c r="B185" s="446"/>
      <c r="C185" s="446"/>
      <c r="D185" s="447"/>
      <c r="E185" s="432"/>
      <c r="F185" s="432"/>
      <c r="G185" s="433"/>
      <c r="H185" s="433"/>
      <c r="I185" s="448"/>
      <c r="J185" s="448"/>
    </row>
    <row r="186" spans="1:20" x14ac:dyDescent="0.25">
      <c r="A186" s="441" t="s">
        <v>529</v>
      </c>
      <c r="B186" s="442"/>
      <c r="C186" s="442"/>
      <c r="D186" s="443"/>
      <c r="E186" s="449"/>
      <c r="F186" s="449"/>
      <c r="G186" s="449"/>
      <c r="H186" s="449"/>
      <c r="I186" s="450"/>
      <c r="J186" s="450"/>
    </row>
    <row r="187" spans="1:20" x14ac:dyDescent="0.25">
      <c r="A187" s="445" t="s">
        <v>530</v>
      </c>
      <c r="B187" s="446"/>
      <c r="C187" s="446"/>
      <c r="D187" s="447"/>
      <c r="E187" s="432"/>
      <c r="F187" s="432"/>
      <c r="G187" s="433"/>
      <c r="H187" s="433"/>
      <c r="I187" s="448"/>
      <c r="J187" s="448"/>
    </row>
    <row r="188" spans="1:20" x14ac:dyDescent="0.25">
      <c r="A188" s="441" t="s">
        <v>531</v>
      </c>
      <c r="B188" s="442"/>
      <c r="C188" s="442"/>
      <c r="D188" s="443"/>
      <c r="E188" s="449"/>
      <c r="F188" s="449"/>
      <c r="G188" s="449"/>
      <c r="H188" s="449"/>
      <c r="I188" s="450"/>
      <c r="J188" s="450"/>
    </row>
    <row r="189" spans="1:20" x14ac:dyDescent="0.25">
      <c r="A189" s="445" t="s">
        <v>532</v>
      </c>
      <c r="B189" s="446"/>
      <c r="C189" s="446"/>
      <c r="D189" s="447"/>
      <c r="E189" s="432"/>
      <c r="F189" s="432"/>
      <c r="G189" s="433"/>
      <c r="H189" s="433"/>
      <c r="I189" s="448"/>
      <c r="J189" s="448"/>
    </row>
    <row r="190" spans="1:20" x14ac:dyDescent="0.25">
      <c r="A190" s="441" t="s">
        <v>537</v>
      </c>
      <c r="B190" s="442"/>
      <c r="C190" s="442"/>
      <c r="D190" s="443"/>
      <c r="E190" s="444"/>
      <c r="F190" s="444"/>
      <c r="G190" s="444"/>
      <c r="H190" s="444"/>
      <c r="I190" s="438"/>
      <c r="J190" s="438"/>
    </row>
    <row r="191" spans="1:20" x14ac:dyDescent="0.25">
      <c r="A191" s="429"/>
      <c r="B191" s="430"/>
      <c r="C191" s="430"/>
      <c r="D191" s="431"/>
      <c r="E191" s="432"/>
      <c r="F191" s="432"/>
      <c r="G191" s="433"/>
      <c r="H191" s="433"/>
      <c r="I191" s="433"/>
      <c r="J191" s="433"/>
    </row>
    <row r="192" spans="1:20" x14ac:dyDescent="0.25">
      <c r="A192" s="429"/>
      <c r="B192" s="430"/>
      <c r="C192" s="430"/>
      <c r="D192" s="431"/>
      <c r="E192" s="432"/>
      <c r="F192" s="432"/>
      <c r="G192" s="433"/>
      <c r="H192" s="433"/>
      <c r="I192" s="433"/>
      <c r="J192" s="433"/>
    </row>
    <row r="193" spans="1:19" ht="12.75" customHeight="1" x14ac:dyDescent="0.25">
      <c r="A193" s="429"/>
      <c r="B193" s="430"/>
      <c r="C193" s="430"/>
      <c r="D193" s="431"/>
      <c r="E193" s="432"/>
      <c r="F193" s="432"/>
      <c r="G193" s="433"/>
      <c r="H193" s="433"/>
      <c r="I193" s="433"/>
      <c r="J193" s="433"/>
    </row>
    <row r="194" spans="1:19" x14ac:dyDescent="0.25">
      <c r="A194" s="434" t="s">
        <v>534</v>
      </c>
      <c r="B194" s="435"/>
      <c r="C194" s="435"/>
      <c r="D194" s="436"/>
      <c r="E194" s="437">
        <f>SUM(E184:E193)</f>
        <v>0</v>
      </c>
      <c r="F194" s="437"/>
      <c r="G194" s="437">
        <f>SUM(G184:G193)</f>
        <v>607172</v>
      </c>
      <c r="H194" s="437"/>
      <c r="I194" s="437">
        <f>SUM(I184:I193)</f>
        <v>0</v>
      </c>
      <c r="J194" s="437"/>
    </row>
    <row r="195" spans="1:19" s="1" customFormat="1" ht="14.25" customHeight="1" x14ac:dyDescent="0.25">
      <c r="A195" s="486" t="s">
        <v>861</v>
      </c>
      <c r="B195" s="487"/>
      <c r="C195" s="487"/>
      <c r="D195" s="487"/>
      <c r="E195" s="487"/>
      <c r="F195" s="487"/>
      <c r="G195" s="487"/>
      <c r="H195" s="487"/>
      <c r="I195" s="487"/>
      <c r="J195" s="488"/>
      <c r="K195" s="211"/>
      <c r="L195" s="211"/>
      <c r="M195" s="211"/>
      <c r="N195" s="211"/>
      <c r="O195" s="211"/>
      <c r="P195" s="211"/>
      <c r="Q195" s="211"/>
      <c r="R195" s="211"/>
      <c r="S195" s="211"/>
    </row>
    <row r="196" spans="1:19" s="1" customFormat="1" ht="14.25" customHeight="1" x14ac:dyDescent="0.25">
      <c r="A196" s="489" t="s">
        <v>862</v>
      </c>
      <c r="B196" s="490"/>
      <c r="C196" s="490"/>
      <c r="D196" s="490"/>
      <c r="E196" s="490"/>
      <c r="F196" s="490"/>
      <c r="G196" s="490"/>
      <c r="H196" s="490"/>
      <c r="I196" s="490"/>
      <c r="J196" s="491"/>
      <c r="K196" s="211"/>
      <c r="L196" s="211"/>
      <c r="M196" s="211"/>
      <c r="N196" s="211"/>
      <c r="O196" s="211"/>
      <c r="P196" s="211"/>
      <c r="Q196" s="211"/>
      <c r="R196" s="211"/>
      <c r="S196" s="211"/>
    </row>
    <row r="197" spans="1:19" ht="14.25" customHeight="1" x14ac:dyDescent="0.25">
      <c r="A197" s="489" t="s">
        <v>863</v>
      </c>
      <c r="B197" s="490"/>
      <c r="C197" s="490"/>
      <c r="D197" s="490"/>
      <c r="E197" s="490"/>
      <c r="F197" s="490"/>
      <c r="G197" s="490"/>
      <c r="H197" s="490"/>
      <c r="I197" s="490"/>
      <c r="J197" s="491"/>
    </row>
    <row r="198" spans="1:19" ht="14.25" customHeight="1" x14ac:dyDescent="0.25">
      <c r="A198" s="492" t="s">
        <v>864</v>
      </c>
      <c r="B198" s="493"/>
      <c r="C198" s="493"/>
      <c r="D198" s="493"/>
      <c r="E198" s="493"/>
      <c r="F198" s="493"/>
      <c r="G198" s="493"/>
      <c r="H198" s="493"/>
      <c r="I198" s="493"/>
      <c r="J198" s="494"/>
    </row>
    <row r="199" spans="1:19" ht="15.75" customHeight="1" x14ac:dyDescent="0.25">
      <c r="A199" s="300" t="s">
        <v>943</v>
      </c>
      <c r="B199" s="478"/>
      <c r="C199" s="478"/>
      <c r="D199" s="478"/>
      <c r="E199" s="478"/>
      <c r="F199" s="478"/>
      <c r="G199" s="478"/>
      <c r="H199" s="478"/>
      <c r="I199" s="478"/>
      <c r="J199" s="479"/>
    </row>
    <row r="200" spans="1:19" ht="15" customHeight="1" x14ac:dyDescent="0.25">
      <c r="A200" s="480"/>
      <c r="B200" s="481"/>
      <c r="C200" s="481"/>
      <c r="D200" s="481"/>
      <c r="E200" s="481"/>
      <c r="F200" s="481"/>
      <c r="G200" s="481"/>
      <c r="H200" s="481"/>
      <c r="I200" s="481"/>
      <c r="J200" s="482"/>
    </row>
    <row r="201" spans="1:19" ht="15" customHeight="1" x14ac:dyDescent="0.25">
      <c r="A201" s="480"/>
      <c r="B201" s="481"/>
      <c r="C201" s="481"/>
      <c r="D201" s="481"/>
      <c r="E201" s="481"/>
      <c r="F201" s="481"/>
      <c r="G201" s="481"/>
      <c r="H201" s="481"/>
      <c r="I201" s="481"/>
      <c r="J201" s="482"/>
    </row>
    <row r="202" spans="1:19" ht="15" customHeight="1" x14ac:dyDescent="0.25">
      <c r="A202" s="480"/>
      <c r="B202" s="481"/>
      <c r="C202" s="481"/>
      <c r="D202" s="481"/>
      <c r="E202" s="481"/>
      <c r="F202" s="481"/>
      <c r="G202" s="481"/>
      <c r="H202" s="481"/>
      <c r="I202" s="481"/>
      <c r="J202" s="482"/>
    </row>
    <row r="203" spans="1:19" ht="15" customHeight="1" x14ac:dyDescent="0.25">
      <c r="A203" s="480"/>
      <c r="B203" s="481"/>
      <c r="C203" s="481"/>
      <c r="D203" s="481"/>
      <c r="E203" s="481"/>
      <c r="F203" s="481"/>
      <c r="G203" s="481"/>
      <c r="H203" s="481"/>
      <c r="I203" s="481"/>
      <c r="J203" s="482"/>
    </row>
    <row r="204" spans="1:19" ht="15" customHeight="1" x14ac:dyDescent="0.25">
      <c r="A204" s="480"/>
      <c r="B204" s="481"/>
      <c r="C204" s="481"/>
      <c r="D204" s="481"/>
      <c r="E204" s="481"/>
      <c r="F204" s="481"/>
      <c r="G204" s="481"/>
      <c r="H204" s="481"/>
      <c r="I204" s="481"/>
      <c r="J204" s="482"/>
    </row>
    <row r="205" spans="1:19" ht="15" customHeight="1" x14ac:dyDescent="0.25">
      <c r="A205" s="480"/>
      <c r="B205" s="481"/>
      <c r="C205" s="481"/>
      <c r="D205" s="481"/>
      <c r="E205" s="481"/>
      <c r="F205" s="481"/>
      <c r="G205" s="481"/>
      <c r="H205" s="481"/>
      <c r="I205" s="481"/>
      <c r="J205" s="482"/>
    </row>
    <row r="206" spans="1:19" ht="15" customHeight="1" x14ac:dyDescent="0.25">
      <c r="A206" s="480"/>
      <c r="B206" s="481"/>
      <c r="C206" s="481"/>
      <c r="D206" s="481"/>
      <c r="E206" s="481"/>
      <c r="F206" s="481"/>
      <c r="G206" s="481"/>
      <c r="H206" s="481"/>
      <c r="I206" s="481"/>
      <c r="J206" s="482"/>
    </row>
    <row r="207" spans="1:19" ht="15" customHeight="1" x14ac:dyDescent="0.25">
      <c r="A207" s="480"/>
      <c r="B207" s="481"/>
      <c r="C207" s="481"/>
      <c r="D207" s="481"/>
      <c r="E207" s="481"/>
      <c r="F207" s="481"/>
      <c r="G207" s="481"/>
      <c r="H207" s="481"/>
      <c r="I207" s="481"/>
      <c r="J207" s="482"/>
    </row>
    <row r="208" spans="1:19" ht="15" customHeight="1" x14ac:dyDescent="0.25">
      <c r="A208" s="480"/>
      <c r="B208" s="481"/>
      <c r="C208" s="481"/>
      <c r="D208" s="481"/>
      <c r="E208" s="481"/>
      <c r="F208" s="481"/>
      <c r="G208" s="481"/>
      <c r="H208" s="481"/>
      <c r="I208" s="481"/>
      <c r="J208" s="482"/>
    </row>
    <row r="209" spans="1:12" ht="15" customHeight="1" x14ac:dyDescent="0.25">
      <c r="A209" s="480"/>
      <c r="B209" s="481"/>
      <c r="C209" s="481"/>
      <c r="D209" s="481"/>
      <c r="E209" s="481"/>
      <c r="F209" s="481"/>
      <c r="G209" s="481"/>
      <c r="H209" s="481"/>
      <c r="I209" s="481"/>
      <c r="J209" s="482"/>
    </row>
    <row r="210" spans="1:12" ht="15" customHeight="1" x14ac:dyDescent="0.25">
      <c r="A210" s="480"/>
      <c r="B210" s="481"/>
      <c r="C210" s="481"/>
      <c r="D210" s="481"/>
      <c r="E210" s="481"/>
      <c r="F210" s="481"/>
      <c r="G210" s="481"/>
      <c r="H210" s="481"/>
      <c r="I210" s="481"/>
      <c r="J210" s="482"/>
    </row>
    <row r="211" spans="1:12" ht="15" customHeight="1" x14ac:dyDescent="0.25">
      <c r="A211" s="480"/>
      <c r="B211" s="481"/>
      <c r="C211" s="481"/>
      <c r="D211" s="481"/>
      <c r="E211" s="481"/>
      <c r="F211" s="481"/>
      <c r="G211" s="481"/>
      <c r="H211" s="481"/>
      <c r="I211" s="481"/>
      <c r="J211" s="482"/>
    </row>
    <row r="212" spans="1:12" ht="15" customHeight="1" x14ac:dyDescent="0.25">
      <c r="A212" s="480"/>
      <c r="B212" s="481"/>
      <c r="C212" s="481"/>
      <c r="D212" s="481"/>
      <c r="E212" s="481"/>
      <c r="F212" s="481"/>
      <c r="G212" s="481"/>
      <c r="H212" s="481"/>
      <c r="I212" s="481"/>
      <c r="J212" s="482"/>
    </row>
    <row r="213" spans="1:12" ht="15" customHeight="1" x14ac:dyDescent="0.25">
      <c r="A213" s="480"/>
      <c r="B213" s="481"/>
      <c r="C213" s="481"/>
      <c r="D213" s="481"/>
      <c r="E213" s="481"/>
      <c r="F213" s="481"/>
      <c r="G213" s="481"/>
      <c r="H213" s="481"/>
      <c r="I213" s="481"/>
      <c r="J213" s="482"/>
    </row>
    <row r="214" spans="1:12" ht="15" customHeight="1" x14ac:dyDescent="0.25">
      <c r="A214" s="480"/>
      <c r="B214" s="481"/>
      <c r="C214" s="481"/>
      <c r="D214" s="481"/>
      <c r="E214" s="481"/>
      <c r="F214" s="481"/>
      <c r="G214" s="481"/>
      <c r="H214" s="481"/>
      <c r="I214" s="481"/>
      <c r="J214" s="482"/>
    </row>
    <row r="215" spans="1:12" ht="15" customHeight="1" x14ac:dyDescent="0.25">
      <c r="A215" s="480"/>
      <c r="B215" s="481"/>
      <c r="C215" s="481"/>
      <c r="D215" s="481"/>
      <c r="E215" s="481"/>
      <c r="F215" s="481"/>
      <c r="G215" s="481"/>
      <c r="H215" s="481"/>
      <c r="I215" s="481"/>
      <c r="J215" s="482"/>
    </row>
    <row r="216" spans="1:12" ht="15" customHeight="1" x14ac:dyDescent="0.25">
      <c r="A216" s="480"/>
      <c r="B216" s="481"/>
      <c r="C216" s="481"/>
      <c r="D216" s="481"/>
      <c r="E216" s="481"/>
      <c r="F216" s="481"/>
      <c r="G216" s="481"/>
      <c r="H216" s="481"/>
      <c r="I216" s="481"/>
      <c r="J216" s="482"/>
    </row>
    <row r="217" spans="1:12" ht="15" customHeight="1" x14ac:dyDescent="0.25">
      <c r="A217" s="480"/>
      <c r="B217" s="481"/>
      <c r="C217" s="481"/>
      <c r="D217" s="481"/>
      <c r="E217" s="481"/>
      <c r="F217" s="481"/>
      <c r="G217" s="481"/>
      <c r="H217" s="481"/>
      <c r="I217" s="481"/>
      <c r="J217" s="482"/>
    </row>
    <row r="218" spans="1:12" ht="15" customHeight="1" x14ac:dyDescent="0.25">
      <c r="A218" s="480"/>
      <c r="B218" s="481"/>
      <c r="C218" s="481"/>
      <c r="D218" s="481"/>
      <c r="E218" s="481"/>
      <c r="F218" s="481"/>
      <c r="G218" s="481"/>
      <c r="H218" s="481"/>
      <c r="I218" s="481"/>
      <c r="J218" s="482"/>
    </row>
    <row r="219" spans="1:12" ht="15" customHeight="1" x14ac:dyDescent="0.25">
      <c r="A219" s="480"/>
      <c r="B219" s="481"/>
      <c r="C219" s="481"/>
      <c r="D219" s="481"/>
      <c r="E219" s="481"/>
      <c r="F219" s="481"/>
      <c r="G219" s="481"/>
      <c r="H219" s="481"/>
      <c r="I219" s="481"/>
      <c r="J219" s="482"/>
    </row>
    <row r="220" spans="1:12" ht="15" customHeight="1" x14ac:dyDescent="0.25">
      <c r="A220" s="480"/>
      <c r="B220" s="481"/>
      <c r="C220" s="481"/>
      <c r="D220" s="481"/>
      <c r="E220" s="481"/>
      <c r="F220" s="481"/>
      <c r="G220" s="481"/>
      <c r="H220" s="481"/>
      <c r="I220" s="481"/>
      <c r="J220" s="482"/>
    </row>
    <row r="221" spans="1:12" ht="15" customHeight="1" x14ac:dyDescent="0.25">
      <c r="A221" s="480"/>
      <c r="B221" s="481"/>
      <c r="C221" s="481"/>
      <c r="D221" s="481"/>
      <c r="E221" s="481"/>
      <c r="F221" s="481"/>
      <c r="G221" s="481"/>
      <c r="H221" s="481"/>
      <c r="I221" s="481"/>
      <c r="J221" s="482"/>
      <c r="K221" s="189"/>
      <c r="L221" s="189"/>
    </row>
    <row r="222" spans="1:12" ht="15" customHeight="1" x14ac:dyDescent="0.25">
      <c r="A222" s="480"/>
      <c r="B222" s="481"/>
      <c r="C222" s="481"/>
      <c r="D222" s="481"/>
      <c r="E222" s="481"/>
      <c r="F222" s="481"/>
      <c r="G222" s="481"/>
      <c r="H222" s="481"/>
      <c r="I222" s="481"/>
      <c r="J222" s="482"/>
    </row>
    <row r="223" spans="1:12" ht="15" customHeight="1" x14ac:dyDescent="0.25">
      <c r="A223" s="480"/>
      <c r="B223" s="481"/>
      <c r="C223" s="481"/>
      <c r="D223" s="481"/>
      <c r="E223" s="481"/>
      <c r="F223" s="481"/>
      <c r="G223" s="481"/>
      <c r="H223" s="481"/>
      <c r="I223" s="481"/>
      <c r="J223" s="482"/>
    </row>
    <row r="224" spans="1:12" ht="15" customHeight="1" x14ac:dyDescent="0.25">
      <c r="A224" s="480"/>
      <c r="B224" s="481"/>
      <c r="C224" s="481"/>
      <c r="D224" s="481"/>
      <c r="E224" s="481"/>
      <c r="F224" s="481"/>
      <c r="G224" s="481"/>
      <c r="H224" s="481"/>
      <c r="I224" s="481"/>
      <c r="J224" s="482"/>
    </row>
    <row r="225" spans="1:10" ht="15" customHeight="1" x14ac:dyDescent="0.25">
      <c r="A225" s="480"/>
      <c r="B225" s="481"/>
      <c r="C225" s="481"/>
      <c r="D225" s="481"/>
      <c r="E225" s="481"/>
      <c r="F225" s="481"/>
      <c r="G225" s="481"/>
      <c r="H225" s="481"/>
      <c r="I225" s="481"/>
      <c r="J225" s="482"/>
    </row>
    <row r="226" spans="1:10" ht="15" customHeight="1" x14ac:dyDescent="0.25">
      <c r="A226" s="483"/>
      <c r="B226" s="484"/>
      <c r="C226" s="484"/>
      <c r="D226" s="484"/>
      <c r="E226" s="484"/>
      <c r="F226" s="484"/>
      <c r="G226" s="484"/>
      <c r="H226" s="484"/>
      <c r="I226" s="484"/>
      <c r="J226" s="485"/>
    </row>
    <row r="227" spans="1:10" ht="15" customHeight="1" x14ac:dyDescent="0.25">
      <c r="A227" s="209"/>
      <c r="B227" s="209"/>
      <c r="C227" s="209"/>
      <c r="D227" s="209"/>
      <c r="E227" s="209"/>
      <c r="F227" s="209"/>
      <c r="G227" s="209"/>
      <c r="H227" s="209"/>
      <c r="I227" s="209"/>
      <c r="J227" s="209"/>
    </row>
    <row r="228" spans="1:10" ht="15" customHeight="1" x14ac:dyDescent="0.25">
      <c r="A228" s="209"/>
      <c r="B228" s="209"/>
      <c r="C228" s="209"/>
      <c r="D228" s="209"/>
      <c r="E228" s="209"/>
      <c r="F228" s="209"/>
      <c r="G228" s="209"/>
      <c r="H228" s="209"/>
      <c r="I228" s="209"/>
      <c r="J228" s="209"/>
    </row>
    <row r="229" spans="1:10" ht="15" customHeight="1" x14ac:dyDescent="0.25">
      <c r="A229" s="188"/>
      <c r="B229" s="188"/>
      <c r="C229" s="188"/>
      <c r="D229" s="188"/>
      <c r="E229" s="188"/>
      <c r="F229" s="188"/>
      <c r="G229" s="188"/>
      <c r="H229" s="188"/>
      <c r="I229" s="188"/>
      <c r="J229" s="188"/>
    </row>
    <row r="230" spans="1:10" ht="15.6" x14ac:dyDescent="0.3">
      <c r="A230" s="351" t="s">
        <v>848</v>
      </c>
      <c r="B230" s="352"/>
      <c r="C230" s="352"/>
      <c r="D230" s="352"/>
      <c r="E230" s="352"/>
      <c r="F230" s="352"/>
      <c r="G230" s="352"/>
      <c r="H230" s="349" t="str">
        <f>'CONTACT INFORMATION'!$A$24</f>
        <v>Fresno</v>
      </c>
      <c r="I230" s="349"/>
      <c r="J230" s="350"/>
    </row>
    <row r="231" spans="1:10" ht="8.1" customHeight="1" x14ac:dyDescent="0.25">
      <c r="A231" s="163"/>
      <c r="B231" s="163"/>
      <c r="C231" s="163"/>
      <c r="D231" s="163"/>
      <c r="E231" s="163"/>
      <c r="F231" s="163"/>
      <c r="G231" s="163"/>
      <c r="H231" s="163"/>
      <c r="I231" s="163"/>
      <c r="J231" s="163"/>
    </row>
    <row r="232" spans="1:10" ht="13.8" x14ac:dyDescent="0.25">
      <c r="A232" s="458" t="s">
        <v>810</v>
      </c>
      <c r="B232" s="459"/>
      <c r="C232" s="459"/>
      <c r="D232" s="459"/>
      <c r="E232" s="459"/>
      <c r="F232" s="459"/>
      <c r="G232" s="459"/>
      <c r="H232" s="459"/>
      <c r="I232" s="459"/>
      <c r="J232" s="460"/>
    </row>
    <row r="233" spans="1:10" ht="12.75" customHeight="1" x14ac:dyDescent="0.25">
      <c r="A233" s="455" t="s">
        <v>854</v>
      </c>
      <c r="B233" s="519"/>
      <c r="C233" s="519"/>
      <c r="D233" s="520"/>
      <c r="E233" s="506" t="s">
        <v>929</v>
      </c>
      <c r="F233" s="507"/>
      <c r="G233" s="507"/>
      <c r="H233" s="507"/>
      <c r="I233" s="507"/>
      <c r="J233" s="508"/>
    </row>
    <row r="234" spans="1:10" ht="12.75" customHeight="1" x14ac:dyDescent="0.25">
      <c r="A234" s="495" t="s">
        <v>912</v>
      </c>
      <c r="B234" s="496"/>
      <c r="C234" s="496"/>
      <c r="D234" s="497"/>
      <c r="E234" s="509"/>
      <c r="F234" s="510"/>
      <c r="G234" s="510"/>
      <c r="H234" s="510"/>
      <c r="I234" s="510"/>
      <c r="J234" s="511"/>
    </row>
    <row r="235" spans="1:10" x14ac:dyDescent="0.25">
      <c r="A235" s="521" t="s">
        <v>913</v>
      </c>
      <c r="B235" s="522"/>
      <c r="C235" s="522"/>
      <c r="D235" s="523"/>
      <c r="E235" s="471" t="s">
        <v>502</v>
      </c>
      <c r="F235" s="472"/>
      <c r="G235" s="472"/>
      <c r="H235" s="472"/>
      <c r="I235" s="472"/>
      <c r="J235" s="473"/>
    </row>
    <row r="236" spans="1:10" ht="27" customHeight="1" x14ac:dyDescent="0.25">
      <c r="A236" s="157"/>
      <c r="B236" s="208"/>
      <c r="C236" s="208"/>
      <c r="D236" s="208"/>
      <c r="E236" s="474" t="s">
        <v>535</v>
      </c>
      <c r="F236" s="475"/>
      <c r="G236" s="474" t="s">
        <v>533</v>
      </c>
      <c r="H236" s="475"/>
      <c r="I236" s="476" t="s">
        <v>849</v>
      </c>
      <c r="J236" s="477"/>
    </row>
    <row r="237" spans="1:10" x14ac:dyDescent="0.25">
      <c r="A237" s="441" t="s">
        <v>527</v>
      </c>
      <c r="B237" s="442"/>
      <c r="C237" s="442"/>
      <c r="D237" s="443"/>
      <c r="E237" s="449"/>
      <c r="F237" s="449"/>
      <c r="G237" s="449"/>
      <c r="H237" s="449"/>
      <c r="I237" s="450"/>
      <c r="J237" s="450"/>
    </row>
    <row r="238" spans="1:10" x14ac:dyDescent="0.25">
      <c r="A238" s="445" t="s">
        <v>528</v>
      </c>
      <c r="B238" s="446"/>
      <c r="C238" s="446"/>
      <c r="D238" s="447"/>
      <c r="E238" s="432"/>
      <c r="F238" s="432"/>
      <c r="G238" s="433"/>
      <c r="H238" s="433"/>
      <c r="I238" s="448"/>
      <c r="J238" s="448"/>
    </row>
    <row r="239" spans="1:10" x14ac:dyDescent="0.25">
      <c r="A239" s="441" t="s">
        <v>529</v>
      </c>
      <c r="B239" s="442"/>
      <c r="C239" s="442"/>
      <c r="D239" s="443"/>
      <c r="E239" s="449"/>
      <c r="F239" s="449"/>
      <c r="G239" s="449">
        <v>36800</v>
      </c>
      <c r="H239" s="449"/>
      <c r="I239" s="450"/>
      <c r="J239" s="450"/>
    </row>
    <row r="240" spans="1:10" x14ac:dyDescent="0.25">
      <c r="A240" s="445" t="s">
        <v>530</v>
      </c>
      <c r="B240" s="446"/>
      <c r="C240" s="446"/>
      <c r="D240" s="447"/>
      <c r="E240" s="432"/>
      <c r="F240" s="432"/>
      <c r="G240" s="433"/>
      <c r="H240" s="433"/>
      <c r="I240" s="448"/>
      <c r="J240" s="448"/>
    </row>
    <row r="241" spans="1:10" x14ac:dyDescent="0.25">
      <c r="A241" s="441" t="s">
        <v>531</v>
      </c>
      <c r="B241" s="442"/>
      <c r="C241" s="442"/>
      <c r="D241" s="443"/>
      <c r="E241" s="449"/>
      <c r="F241" s="449"/>
      <c r="G241" s="449"/>
      <c r="H241" s="449"/>
      <c r="I241" s="450"/>
      <c r="J241" s="450"/>
    </row>
    <row r="242" spans="1:10" x14ac:dyDescent="0.25">
      <c r="A242" s="445" t="s">
        <v>532</v>
      </c>
      <c r="B242" s="446"/>
      <c r="C242" s="446"/>
      <c r="D242" s="447"/>
      <c r="E242" s="432"/>
      <c r="F242" s="432"/>
      <c r="G242" s="433"/>
      <c r="H242" s="433"/>
      <c r="I242" s="448"/>
      <c r="J242" s="448"/>
    </row>
    <row r="243" spans="1:10" x14ac:dyDescent="0.25">
      <c r="A243" s="441" t="s">
        <v>537</v>
      </c>
      <c r="B243" s="442"/>
      <c r="C243" s="442"/>
      <c r="D243" s="443"/>
      <c r="E243" s="444"/>
      <c r="F243" s="444"/>
      <c r="G243" s="444"/>
      <c r="H243" s="444"/>
      <c r="I243" s="438"/>
      <c r="J243" s="438"/>
    </row>
    <row r="244" spans="1:10" x14ac:dyDescent="0.25">
      <c r="A244" s="429"/>
      <c r="B244" s="430"/>
      <c r="C244" s="430"/>
      <c r="D244" s="431"/>
      <c r="E244" s="432"/>
      <c r="F244" s="432"/>
      <c r="G244" s="433"/>
      <c r="H244" s="433"/>
      <c r="I244" s="433"/>
      <c r="J244" s="433"/>
    </row>
    <row r="245" spans="1:10" x14ac:dyDescent="0.25">
      <c r="A245" s="429"/>
      <c r="B245" s="430"/>
      <c r="C245" s="430"/>
      <c r="D245" s="431"/>
      <c r="E245" s="432"/>
      <c r="F245" s="432"/>
      <c r="G245" s="433"/>
      <c r="H245" s="433"/>
      <c r="I245" s="433"/>
      <c r="J245" s="433"/>
    </row>
    <row r="246" spans="1:10" x14ac:dyDescent="0.25">
      <c r="A246" s="429"/>
      <c r="B246" s="430"/>
      <c r="C246" s="430"/>
      <c r="D246" s="431"/>
      <c r="E246" s="432"/>
      <c r="F246" s="432"/>
      <c r="G246" s="433"/>
      <c r="H246" s="433"/>
      <c r="I246" s="433"/>
      <c r="J246" s="433"/>
    </row>
    <row r="247" spans="1:10" x14ac:dyDescent="0.25">
      <c r="A247" s="434" t="s">
        <v>534</v>
      </c>
      <c r="B247" s="435"/>
      <c r="C247" s="435"/>
      <c r="D247" s="436"/>
      <c r="E247" s="437">
        <f>SUM(E237:E246)</f>
        <v>0</v>
      </c>
      <c r="F247" s="437"/>
      <c r="G247" s="437">
        <f>SUM(G237:G246)</f>
        <v>36800</v>
      </c>
      <c r="H247" s="437"/>
      <c r="I247" s="437">
        <f>SUM(I237:I246)</f>
        <v>0</v>
      </c>
      <c r="J247" s="437"/>
    </row>
    <row r="248" spans="1:10" ht="12.75" customHeight="1" x14ac:dyDescent="0.25">
      <c r="A248" s="486" t="s">
        <v>861</v>
      </c>
      <c r="B248" s="487"/>
      <c r="C248" s="487"/>
      <c r="D248" s="487"/>
      <c r="E248" s="487"/>
      <c r="F248" s="487"/>
      <c r="G248" s="487"/>
      <c r="H248" s="487"/>
      <c r="I248" s="487"/>
      <c r="J248" s="488"/>
    </row>
    <row r="249" spans="1:10" ht="12.75" customHeight="1" x14ac:dyDescent="0.25">
      <c r="A249" s="489" t="s">
        <v>862</v>
      </c>
      <c r="B249" s="490"/>
      <c r="C249" s="490"/>
      <c r="D249" s="490"/>
      <c r="E249" s="490"/>
      <c r="F249" s="490"/>
      <c r="G249" s="490"/>
      <c r="H249" s="490"/>
      <c r="I249" s="490"/>
      <c r="J249" s="491"/>
    </row>
    <row r="250" spans="1:10" ht="12.75" customHeight="1" x14ac:dyDescent="0.25">
      <c r="A250" s="489" t="s">
        <v>863</v>
      </c>
      <c r="B250" s="490"/>
      <c r="C250" s="490"/>
      <c r="D250" s="490"/>
      <c r="E250" s="490"/>
      <c r="F250" s="490"/>
      <c r="G250" s="490"/>
      <c r="H250" s="490"/>
      <c r="I250" s="490"/>
      <c r="J250" s="491"/>
    </row>
    <row r="251" spans="1:10" ht="12.75" customHeight="1" x14ac:dyDescent="0.25">
      <c r="A251" s="492" t="s">
        <v>864</v>
      </c>
      <c r="B251" s="493"/>
      <c r="C251" s="493"/>
      <c r="D251" s="493"/>
      <c r="E251" s="493"/>
      <c r="F251" s="493"/>
      <c r="G251" s="493"/>
      <c r="H251" s="493"/>
      <c r="I251" s="493"/>
      <c r="J251" s="494"/>
    </row>
    <row r="252" spans="1:10" x14ac:dyDescent="0.25">
      <c r="A252" s="300" t="s">
        <v>939</v>
      </c>
      <c r="B252" s="478"/>
      <c r="C252" s="478"/>
      <c r="D252" s="478"/>
      <c r="E252" s="478"/>
      <c r="F252" s="478"/>
      <c r="G252" s="478"/>
      <c r="H252" s="478"/>
      <c r="I252" s="478"/>
      <c r="J252" s="479"/>
    </row>
    <row r="253" spans="1:10" x14ac:dyDescent="0.25">
      <c r="A253" s="480"/>
      <c r="B253" s="481"/>
      <c r="C253" s="481"/>
      <c r="D253" s="481"/>
      <c r="E253" s="481"/>
      <c r="F253" s="481"/>
      <c r="G253" s="481"/>
      <c r="H253" s="481"/>
      <c r="I253" s="481"/>
      <c r="J253" s="482"/>
    </row>
    <row r="254" spans="1:10" x14ac:dyDescent="0.25">
      <c r="A254" s="480"/>
      <c r="B254" s="481"/>
      <c r="C254" s="481"/>
      <c r="D254" s="481"/>
      <c r="E254" s="481"/>
      <c r="F254" s="481"/>
      <c r="G254" s="481"/>
      <c r="H254" s="481"/>
      <c r="I254" s="481"/>
      <c r="J254" s="482"/>
    </row>
    <row r="255" spans="1:10" x14ac:dyDescent="0.25">
      <c r="A255" s="480"/>
      <c r="B255" s="481"/>
      <c r="C255" s="481"/>
      <c r="D255" s="481"/>
      <c r="E255" s="481"/>
      <c r="F255" s="481"/>
      <c r="G255" s="481"/>
      <c r="H255" s="481"/>
      <c r="I255" s="481"/>
      <c r="J255" s="482"/>
    </row>
    <row r="256" spans="1:10" x14ac:dyDescent="0.25">
      <c r="A256" s="480"/>
      <c r="B256" s="481"/>
      <c r="C256" s="481"/>
      <c r="D256" s="481"/>
      <c r="E256" s="481"/>
      <c r="F256" s="481"/>
      <c r="G256" s="481"/>
      <c r="H256" s="481"/>
      <c r="I256" s="481"/>
      <c r="J256" s="482"/>
    </row>
    <row r="257" spans="1:10" x14ac:dyDescent="0.25">
      <c r="A257" s="480"/>
      <c r="B257" s="481"/>
      <c r="C257" s="481"/>
      <c r="D257" s="481"/>
      <c r="E257" s="481"/>
      <c r="F257" s="481"/>
      <c r="G257" s="481"/>
      <c r="H257" s="481"/>
      <c r="I257" s="481"/>
      <c r="J257" s="482"/>
    </row>
    <row r="258" spans="1:10" x14ac:dyDescent="0.25">
      <c r="A258" s="480"/>
      <c r="B258" s="481"/>
      <c r="C258" s="481"/>
      <c r="D258" s="481"/>
      <c r="E258" s="481"/>
      <c r="F258" s="481"/>
      <c r="G258" s="481"/>
      <c r="H258" s="481"/>
      <c r="I258" s="481"/>
      <c r="J258" s="482"/>
    </row>
    <row r="259" spans="1:10" x14ac:dyDescent="0.25">
      <c r="A259" s="480"/>
      <c r="B259" s="481"/>
      <c r="C259" s="481"/>
      <c r="D259" s="481"/>
      <c r="E259" s="481"/>
      <c r="F259" s="481"/>
      <c r="G259" s="481"/>
      <c r="H259" s="481"/>
      <c r="I259" s="481"/>
      <c r="J259" s="482"/>
    </row>
    <row r="260" spans="1:10" x14ac:dyDescent="0.25">
      <c r="A260" s="480"/>
      <c r="B260" s="481"/>
      <c r="C260" s="481"/>
      <c r="D260" s="481"/>
      <c r="E260" s="481"/>
      <c r="F260" s="481"/>
      <c r="G260" s="481"/>
      <c r="H260" s="481"/>
      <c r="I260" s="481"/>
      <c r="J260" s="482"/>
    </row>
    <row r="261" spans="1:10" x14ac:dyDescent="0.25">
      <c r="A261" s="480"/>
      <c r="B261" s="481"/>
      <c r="C261" s="481"/>
      <c r="D261" s="481"/>
      <c r="E261" s="481"/>
      <c r="F261" s="481"/>
      <c r="G261" s="481"/>
      <c r="H261" s="481"/>
      <c r="I261" s="481"/>
      <c r="J261" s="482"/>
    </row>
    <row r="262" spans="1:10" x14ac:dyDescent="0.25">
      <c r="A262" s="480"/>
      <c r="B262" s="481"/>
      <c r="C262" s="481"/>
      <c r="D262" s="481"/>
      <c r="E262" s="481"/>
      <c r="F262" s="481"/>
      <c r="G262" s="481"/>
      <c r="H262" s="481"/>
      <c r="I262" s="481"/>
      <c r="J262" s="482"/>
    </row>
    <row r="263" spans="1:10" x14ac:dyDescent="0.25">
      <c r="A263" s="480"/>
      <c r="B263" s="481"/>
      <c r="C263" s="481"/>
      <c r="D263" s="481"/>
      <c r="E263" s="481"/>
      <c r="F263" s="481"/>
      <c r="G263" s="481"/>
      <c r="H263" s="481"/>
      <c r="I263" s="481"/>
      <c r="J263" s="482"/>
    </row>
    <row r="264" spans="1:10" x14ac:dyDescent="0.25">
      <c r="A264" s="480"/>
      <c r="B264" s="481"/>
      <c r="C264" s="481"/>
      <c r="D264" s="481"/>
      <c r="E264" s="481"/>
      <c r="F264" s="481"/>
      <c r="G264" s="481"/>
      <c r="H264" s="481"/>
      <c r="I264" s="481"/>
      <c r="J264" s="482"/>
    </row>
    <row r="265" spans="1:10" x14ac:dyDescent="0.25">
      <c r="A265" s="480"/>
      <c r="B265" s="481"/>
      <c r="C265" s="481"/>
      <c r="D265" s="481"/>
      <c r="E265" s="481"/>
      <c r="F265" s="481"/>
      <c r="G265" s="481"/>
      <c r="H265" s="481"/>
      <c r="I265" s="481"/>
      <c r="J265" s="482"/>
    </row>
    <row r="266" spans="1:10" x14ac:dyDescent="0.25">
      <c r="A266" s="480"/>
      <c r="B266" s="481"/>
      <c r="C266" s="481"/>
      <c r="D266" s="481"/>
      <c r="E266" s="481"/>
      <c r="F266" s="481"/>
      <c r="G266" s="481"/>
      <c r="H266" s="481"/>
      <c r="I266" s="481"/>
      <c r="J266" s="482"/>
    </row>
    <row r="267" spans="1:10" x14ac:dyDescent="0.25">
      <c r="A267" s="480"/>
      <c r="B267" s="481"/>
      <c r="C267" s="481"/>
      <c r="D267" s="481"/>
      <c r="E267" s="481"/>
      <c r="F267" s="481"/>
      <c r="G267" s="481"/>
      <c r="H267" s="481"/>
      <c r="I267" s="481"/>
      <c r="J267" s="482"/>
    </row>
    <row r="268" spans="1:10" x14ac:dyDescent="0.25">
      <c r="A268" s="480"/>
      <c r="B268" s="481"/>
      <c r="C268" s="481"/>
      <c r="D268" s="481"/>
      <c r="E268" s="481"/>
      <c r="F268" s="481"/>
      <c r="G268" s="481"/>
      <c r="H268" s="481"/>
      <c r="I268" s="481"/>
      <c r="J268" s="482"/>
    </row>
    <row r="269" spans="1:10" x14ac:dyDescent="0.25">
      <c r="A269" s="480"/>
      <c r="B269" s="481"/>
      <c r="C269" s="481"/>
      <c r="D269" s="481"/>
      <c r="E269" s="481"/>
      <c r="F269" s="481"/>
      <c r="G269" s="481"/>
      <c r="H269" s="481"/>
      <c r="I269" s="481"/>
      <c r="J269" s="482"/>
    </row>
    <row r="270" spans="1:10" x14ac:dyDescent="0.25">
      <c r="A270" s="480"/>
      <c r="B270" s="481"/>
      <c r="C270" s="481"/>
      <c r="D270" s="481"/>
      <c r="E270" s="481"/>
      <c r="F270" s="481"/>
      <c r="G270" s="481"/>
      <c r="H270" s="481"/>
      <c r="I270" s="481"/>
      <c r="J270" s="482"/>
    </row>
    <row r="271" spans="1:10" x14ac:dyDescent="0.25">
      <c r="A271" s="480"/>
      <c r="B271" s="481"/>
      <c r="C271" s="481"/>
      <c r="D271" s="481"/>
      <c r="E271" s="481"/>
      <c r="F271" s="481"/>
      <c r="G271" s="481"/>
      <c r="H271" s="481"/>
      <c r="I271" s="481"/>
      <c r="J271" s="482"/>
    </row>
    <row r="272" spans="1:10" x14ac:dyDescent="0.25">
      <c r="A272" s="480"/>
      <c r="B272" s="481"/>
      <c r="C272" s="481"/>
      <c r="D272" s="481"/>
      <c r="E272" s="481"/>
      <c r="F272" s="481"/>
      <c r="G272" s="481"/>
      <c r="H272" s="481"/>
      <c r="I272" s="481"/>
      <c r="J272" s="482"/>
    </row>
    <row r="273" spans="1:10" x14ac:dyDescent="0.25">
      <c r="A273" s="480"/>
      <c r="B273" s="481"/>
      <c r="C273" s="481"/>
      <c r="D273" s="481"/>
      <c r="E273" s="481"/>
      <c r="F273" s="481"/>
      <c r="G273" s="481"/>
      <c r="H273" s="481"/>
      <c r="I273" s="481"/>
      <c r="J273" s="482"/>
    </row>
    <row r="274" spans="1:10" x14ac:dyDescent="0.25">
      <c r="A274" s="480"/>
      <c r="B274" s="481"/>
      <c r="C274" s="481"/>
      <c r="D274" s="481"/>
      <c r="E274" s="481"/>
      <c r="F274" s="481"/>
      <c r="G274" s="481"/>
      <c r="H274" s="481"/>
      <c r="I274" s="481"/>
      <c r="J274" s="482"/>
    </row>
    <row r="275" spans="1:10" x14ac:dyDescent="0.25">
      <c r="A275" s="480"/>
      <c r="B275" s="481"/>
      <c r="C275" s="481"/>
      <c r="D275" s="481"/>
      <c r="E275" s="481"/>
      <c r="F275" s="481"/>
      <c r="G275" s="481"/>
      <c r="H275" s="481"/>
      <c r="I275" s="481"/>
      <c r="J275" s="482"/>
    </row>
    <row r="276" spans="1:10" x14ac:dyDescent="0.25">
      <c r="A276" s="480"/>
      <c r="B276" s="481"/>
      <c r="C276" s="481"/>
      <c r="D276" s="481"/>
      <c r="E276" s="481"/>
      <c r="F276" s="481"/>
      <c r="G276" s="481"/>
      <c r="H276" s="481"/>
      <c r="I276" s="481"/>
      <c r="J276" s="482"/>
    </row>
    <row r="277" spans="1:10" x14ac:dyDescent="0.25">
      <c r="A277" s="480"/>
      <c r="B277" s="481"/>
      <c r="C277" s="481"/>
      <c r="D277" s="481"/>
      <c r="E277" s="481"/>
      <c r="F277" s="481"/>
      <c r="G277" s="481"/>
      <c r="H277" s="481"/>
      <c r="I277" s="481"/>
      <c r="J277" s="482"/>
    </row>
    <row r="278" spans="1:10" x14ac:dyDescent="0.25">
      <c r="A278" s="480"/>
      <c r="B278" s="481"/>
      <c r="C278" s="481"/>
      <c r="D278" s="481"/>
      <c r="E278" s="481"/>
      <c r="F278" s="481"/>
      <c r="G278" s="481"/>
      <c r="H278" s="481"/>
      <c r="I278" s="481"/>
      <c r="J278" s="482"/>
    </row>
    <row r="279" spans="1:10" x14ac:dyDescent="0.25">
      <c r="A279" s="480"/>
      <c r="B279" s="481"/>
      <c r="C279" s="481"/>
      <c r="D279" s="481"/>
      <c r="E279" s="481"/>
      <c r="F279" s="481"/>
      <c r="G279" s="481"/>
      <c r="H279" s="481"/>
      <c r="I279" s="481"/>
      <c r="J279" s="482"/>
    </row>
    <row r="280" spans="1:10" x14ac:dyDescent="0.25">
      <c r="A280" s="480"/>
      <c r="B280" s="481"/>
      <c r="C280" s="481"/>
      <c r="D280" s="481"/>
      <c r="E280" s="481"/>
      <c r="F280" s="481"/>
      <c r="G280" s="481"/>
      <c r="H280" s="481"/>
      <c r="I280" s="481"/>
      <c r="J280" s="482"/>
    </row>
    <row r="281" spans="1:10" x14ac:dyDescent="0.25">
      <c r="A281" s="480"/>
      <c r="B281" s="481"/>
      <c r="C281" s="481"/>
      <c r="D281" s="481"/>
      <c r="E281" s="481"/>
      <c r="F281" s="481"/>
      <c r="G281" s="481"/>
      <c r="H281" s="481"/>
      <c r="I281" s="481"/>
      <c r="J281" s="482"/>
    </row>
    <row r="282" spans="1:10" x14ac:dyDescent="0.25">
      <c r="A282" s="480"/>
      <c r="B282" s="481"/>
      <c r="C282" s="481"/>
      <c r="D282" s="481"/>
      <c r="E282" s="481"/>
      <c r="F282" s="481"/>
      <c r="G282" s="481"/>
      <c r="H282" s="481"/>
      <c r="I282" s="481"/>
      <c r="J282" s="482"/>
    </row>
    <row r="283" spans="1:10" x14ac:dyDescent="0.25">
      <c r="A283" s="480"/>
      <c r="B283" s="481"/>
      <c r="C283" s="481"/>
      <c r="D283" s="481"/>
      <c r="E283" s="481"/>
      <c r="F283" s="481"/>
      <c r="G283" s="481"/>
      <c r="H283" s="481"/>
      <c r="I283" s="481"/>
      <c r="J283" s="482"/>
    </row>
    <row r="284" spans="1:10" x14ac:dyDescent="0.25">
      <c r="A284" s="480"/>
      <c r="B284" s="481"/>
      <c r="C284" s="481"/>
      <c r="D284" s="481"/>
      <c r="E284" s="481"/>
      <c r="F284" s="481"/>
      <c r="G284" s="481"/>
      <c r="H284" s="481"/>
      <c r="I284" s="481"/>
      <c r="J284" s="482"/>
    </row>
    <row r="285" spans="1:10" x14ac:dyDescent="0.25">
      <c r="A285" s="483"/>
      <c r="B285" s="484"/>
      <c r="C285" s="484"/>
      <c r="D285" s="484"/>
      <c r="E285" s="484"/>
      <c r="F285" s="484"/>
      <c r="G285" s="484"/>
      <c r="H285" s="484"/>
      <c r="I285" s="484"/>
      <c r="J285" s="485"/>
    </row>
    <row r="288" spans="1:10" ht="15.6" x14ac:dyDescent="0.3">
      <c r="A288" s="351" t="s">
        <v>848</v>
      </c>
      <c r="B288" s="352"/>
      <c r="C288" s="352"/>
      <c r="D288" s="352"/>
      <c r="E288" s="352"/>
      <c r="F288" s="352"/>
      <c r="G288" s="352"/>
      <c r="H288" s="349" t="str">
        <f>'CONTACT INFORMATION'!$A$24</f>
        <v>Fresno</v>
      </c>
      <c r="I288" s="349"/>
      <c r="J288" s="350"/>
    </row>
    <row r="289" spans="1:10" ht="8.1" customHeight="1" x14ac:dyDescent="0.25">
      <c r="A289" s="163"/>
      <c r="B289" s="163"/>
      <c r="C289" s="163"/>
      <c r="D289" s="163"/>
      <c r="E289" s="163"/>
      <c r="F289" s="163"/>
      <c r="G289" s="163"/>
      <c r="H289" s="163"/>
      <c r="I289" s="163"/>
      <c r="J289" s="163"/>
    </row>
    <row r="290" spans="1:10" ht="13.8" x14ac:dyDescent="0.25">
      <c r="A290" s="458" t="s">
        <v>811</v>
      </c>
      <c r="B290" s="459"/>
      <c r="C290" s="459"/>
      <c r="D290" s="459"/>
      <c r="E290" s="459"/>
      <c r="F290" s="459"/>
      <c r="G290" s="459"/>
      <c r="H290" s="459"/>
      <c r="I290" s="459"/>
      <c r="J290" s="460"/>
    </row>
    <row r="291" spans="1:10" x14ac:dyDescent="0.25">
      <c r="A291" s="455" t="s">
        <v>854</v>
      </c>
      <c r="B291" s="456"/>
      <c r="C291" s="456"/>
      <c r="D291" s="457"/>
      <c r="E291" s="506" t="s">
        <v>930</v>
      </c>
      <c r="F291" s="507"/>
      <c r="G291" s="507"/>
      <c r="H291" s="507"/>
      <c r="I291" s="507"/>
      <c r="J291" s="508"/>
    </row>
    <row r="292" spans="1:10" x14ac:dyDescent="0.25">
      <c r="A292" s="495" t="s">
        <v>853</v>
      </c>
      <c r="B292" s="496"/>
      <c r="C292" s="496"/>
      <c r="D292" s="497"/>
      <c r="E292" s="509"/>
      <c r="F292" s="510"/>
      <c r="G292" s="510"/>
      <c r="H292" s="510"/>
      <c r="I292" s="510"/>
      <c r="J292" s="511"/>
    </row>
    <row r="293" spans="1:10" x14ac:dyDescent="0.25">
      <c r="A293" s="524" t="s">
        <v>808</v>
      </c>
      <c r="B293" s="525"/>
      <c r="C293" s="525"/>
      <c r="D293" s="526"/>
      <c r="E293" s="471" t="s">
        <v>517</v>
      </c>
      <c r="F293" s="472"/>
      <c r="G293" s="472"/>
      <c r="H293" s="472"/>
      <c r="I293" s="472"/>
      <c r="J293" s="473"/>
    </row>
    <row r="294" spans="1:10" ht="27" customHeight="1" x14ac:dyDescent="0.25">
      <c r="A294" s="157"/>
      <c r="B294" s="208"/>
      <c r="C294" s="208"/>
      <c r="D294" s="208"/>
      <c r="E294" s="474" t="s">
        <v>535</v>
      </c>
      <c r="F294" s="475"/>
      <c r="G294" s="474" t="s">
        <v>533</v>
      </c>
      <c r="H294" s="475"/>
      <c r="I294" s="476" t="s">
        <v>849</v>
      </c>
      <c r="J294" s="477"/>
    </row>
    <row r="295" spans="1:10" x14ac:dyDescent="0.25">
      <c r="A295" s="441" t="s">
        <v>527</v>
      </c>
      <c r="B295" s="442"/>
      <c r="C295" s="442"/>
      <c r="D295" s="443"/>
      <c r="E295" s="449"/>
      <c r="F295" s="449"/>
      <c r="G295" s="449">
        <v>140111</v>
      </c>
      <c r="H295" s="449"/>
      <c r="I295" s="450"/>
      <c r="J295" s="450"/>
    </row>
    <row r="296" spans="1:10" x14ac:dyDescent="0.25">
      <c r="A296" s="445" t="s">
        <v>528</v>
      </c>
      <c r="B296" s="446"/>
      <c r="C296" s="446"/>
      <c r="D296" s="447"/>
      <c r="E296" s="432"/>
      <c r="F296" s="432"/>
      <c r="G296" s="433"/>
      <c r="H296" s="433"/>
      <c r="I296" s="448"/>
      <c r="J296" s="448"/>
    </row>
    <row r="297" spans="1:10" x14ac:dyDescent="0.25">
      <c r="A297" s="441" t="s">
        <v>529</v>
      </c>
      <c r="B297" s="442"/>
      <c r="C297" s="442"/>
      <c r="D297" s="443"/>
      <c r="E297" s="449"/>
      <c r="F297" s="449"/>
      <c r="G297" s="449"/>
      <c r="H297" s="449"/>
      <c r="I297" s="450"/>
      <c r="J297" s="450"/>
    </row>
    <row r="298" spans="1:10" x14ac:dyDescent="0.25">
      <c r="A298" s="445" t="s">
        <v>530</v>
      </c>
      <c r="B298" s="446"/>
      <c r="C298" s="446"/>
      <c r="D298" s="447"/>
      <c r="E298" s="432"/>
      <c r="F298" s="432"/>
      <c r="G298" s="433"/>
      <c r="H298" s="433"/>
      <c r="I298" s="448"/>
      <c r="J298" s="448"/>
    </row>
    <row r="299" spans="1:10" x14ac:dyDescent="0.25">
      <c r="A299" s="441" t="s">
        <v>531</v>
      </c>
      <c r="B299" s="442"/>
      <c r="C299" s="442"/>
      <c r="D299" s="443"/>
      <c r="E299" s="449"/>
      <c r="F299" s="449"/>
      <c r="G299" s="449"/>
      <c r="H299" s="449"/>
      <c r="I299" s="450"/>
      <c r="J299" s="450"/>
    </row>
    <row r="300" spans="1:10" x14ac:dyDescent="0.25">
      <c r="A300" s="445" t="s">
        <v>532</v>
      </c>
      <c r="B300" s="446"/>
      <c r="C300" s="446"/>
      <c r="D300" s="447"/>
      <c r="E300" s="432"/>
      <c r="F300" s="432"/>
      <c r="G300" s="433"/>
      <c r="H300" s="433"/>
      <c r="I300" s="448"/>
      <c r="J300" s="448"/>
    </row>
    <row r="301" spans="1:10" x14ac:dyDescent="0.25">
      <c r="A301" s="441" t="s">
        <v>537</v>
      </c>
      <c r="B301" s="442"/>
      <c r="C301" s="442"/>
      <c r="D301" s="443"/>
      <c r="E301" s="444"/>
      <c r="F301" s="444"/>
      <c r="G301" s="444"/>
      <c r="H301" s="444"/>
      <c r="I301" s="438"/>
      <c r="J301" s="438"/>
    </row>
    <row r="302" spans="1:10" x14ac:dyDescent="0.25">
      <c r="A302" s="429"/>
      <c r="B302" s="430"/>
      <c r="C302" s="430"/>
      <c r="D302" s="431"/>
      <c r="E302" s="432"/>
      <c r="F302" s="432"/>
      <c r="G302" s="433"/>
      <c r="H302" s="433"/>
      <c r="I302" s="433"/>
      <c r="J302" s="433"/>
    </row>
    <row r="303" spans="1:10" x14ac:dyDescent="0.25">
      <c r="A303" s="429"/>
      <c r="B303" s="430"/>
      <c r="C303" s="430"/>
      <c r="D303" s="431"/>
      <c r="E303" s="432"/>
      <c r="F303" s="432"/>
      <c r="G303" s="433"/>
      <c r="H303" s="433"/>
      <c r="I303" s="433"/>
      <c r="J303" s="433"/>
    </row>
    <row r="304" spans="1:10" x14ac:dyDescent="0.25">
      <c r="A304" s="429"/>
      <c r="B304" s="430"/>
      <c r="C304" s="430"/>
      <c r="D304" s="431"/>
      <c r="E304" s="432"/>
      <c r="F304" s="432"/>
      <c r="G304" s="433"/>
      <c r="H304" s="433"/>
      <c r="I304" s="433"/>
      <c r="J304" s="433"/>
    </row>
    <row r="305" spans="1:10" x14ac:dyDescent="0.25">
      <c r="A305" s="434" t="s">
        <v>534</v>
      </c>
      <c r="B305" s="435"/>
      <c r="C305" s="435"/>
      <c r="D305" s="436"/>
      <c r="E305" s="437">
        <f>SUM(E295:E304)</f>
        <v>0</v>
      </c>
      <c r="F305" s="437"/>
      <c r="G305" s="437">
        <f>SUM(G295:G304)</f>
        <v>140111</v>
      </c>
      <c r="H305" s="437"/>
      <c r="I305" s="437">
        <f>SUM(I295:I304)</f>
        <v>0</v>
      </c>
      <c r="J305" s="437"/>
    </row>
    <row r="306" spans="1:10" x14ac:dyDescent="0.25">
      <c r="A306" s="486" t="s">
        <v>861</v>
      </c>
      <c r="B306" s="487"/>
      <c r="C306" s="487"/>
      <c r="D306" s="487"/>
      <c r="E306" s="487"/>
      <c r="F306" s="487"/>
      <c r="G306" s="487"/>
      <c r="H306" s="487"/>
      <c r="I306" s="487"/>
      <c r="J306" s="488"/>
    </row>
    <row r="307" spans="1:10" x14ac:dyDescent="0.25">
      <c r="A307" s="489" t="s">
        <v>862</v>
      </c>
      <c r="B307" s="490"/>
      <c r="C307" s="490"/>
      <c r="D307" s="490"/>
      <c r="E307" s="490"/>
      <c r="F307" s="490"/>
      <c r="G307" s="490"/>
      <c r="H307" s="490"/>
      <c r="I307" s="490"/>
      <c r="J307" s="491"/>
    </row>
    <row r="308" spans="1:10" x14ac:dyDescent="0.25">
      <c r="A308" s="489" t="s">
        <v>863</v>
      </c>
      <c r="B308" s="490"/>
      <c r="C308" s="490"/>
      <c r="D308" s="490"/>
      <c r="E308" s="490"/>
      <c r="F308" s="490"/>
      <c r="G308" s="490"/>
      <c r="H308" s="490"/>
      <c r="I308" s="490"/>
      <c r="J308" s="491"/>
    </row>
    <row r="309" spans="1:10" x14ac:dyDescent="0.25">
      <c r="A309" s="492" t="s">
        <v>864</v>
      </c>
      <c r="B309" s="493"/>
      <c r="C309" s="493"/>
      <c r="D309" s="493"/>
      <c r="E309" s="493"/>
      <c r="F309" s="493"/>
      <c r="G309" s="493"/>
      <c r="H309" s="493"/>
      <c r="I309" s="493"/>
      <c r="J309" s="494"/>
    </row>
    <row r="310" spans="1:10" x14ac:dyDescent="0.25">
      <c r="A310" s="300" t="s">
        <v>940</v>
      </c>
      <c r="B310" s="478"/>
      <c r="C310" s="478"/>
      <c r="D310" s="478"/>
      <c r="E310" s="478"/>
      <c r="F310" s="478"/>
      <c r="G310" s="478"/>
      <c r="H310" s="478"/>
      <c r="I310" s="478"/>
      <c r="J310" s="479"/>
    </row>
    <row r="311" spans="1:10" x14ac:dyDescent="0.25">
      <c r="A311" s="480"/>
      <c r="B311" s="481"/>
      <c r="C311" s="481"/>
      <c r="D311" s="481"/>
      <c r="E311" s="481"/>
      <c r="F311" s="481"/>
      <c r="G311" s="481"/>
      <c r="H311" s="481"/>
      <c r="I311" s="481"/>
      <c r="J311" s="482"/>
    </row>
    <row r="312" spans="1:10" x14ac:dyDescent="0.25">
      <c r="A312" s="480"/>
      <c r="B312" s="481"/>
      <c r="C312" s="481"/>
      <c r="D312" s="481"/>
      <c r="E312" s="481"/>
      <c r="F312" s="481"/>
      <c r="G312" s="481"/>
      <c r="H312" s="481"/>
      <c r="I312" s="481"/>
      <c r="J312" s="482"/>
    </row>
    <row r="313" spans="1:10" x14ac:dyDescent="0.25">
      <c r="A313" s="480"/>
      <c r="B313" s="481"/>
      <c r="C313" s="481"/>
      <c r="D313" s="481"/>
      <c r="E313" s="481"/>
      <c r="F313" s="481"/>
      <c r="G313" s="481"/>
      <c r="H313" s="481"/>
      <c r="I313" s="481"/>
      <c r="J313" s="482"/>
    </row>
    <row r="314" spans="1:10" x14ac:dyDescent="0.25">
      <c r="A314" s="480"/>
      <c r="B314" s="481"/>
      <c r="C314" s="481"/>
      <c r="D314" s="481"/>
      <c r="E314" s="481"/>
      <c r="F314" s="481"/>
      <c r="G314" s="481"/>
      <c r="H314" s="481"/>
      <c r="I314" s="481"/>
      <c r="J314" s="482"/>
    </row>
    <row r="315" spans="1:10" x14ac:dyDescent="0.25">
      <c r="A315" s="480"/>
      <c r="B315" s="481"/>
      <c r="C315" s="481"/>
      <c r="D315" s="481"/>
      <c r="E315" s="481"/>
      <c r="F315" s="481"/>
      <c r="G315" s="481"/>
      <c r="H315" s="481"/>
      <c r="I315" s="481"/>
      <c r="J315" s="482"/>
    </row>
    <row r="316" spans="1:10" x14ac:dyDescent="0.25">
      <c r="A316" s="480"/>
      <c r="B316" s="481"/>
      <c r="C316" s="481"/>
      <c r="D316" s="481"/>
      <c r="E316" s="481"/>
      <c r="F316" s="481"/>
      <c r="G316" s="481"/>
      <c r="H316" s="481"/>
      <c r="I316" s="481"/>
      <c r="J316" s="482"/>
    </row>
    <row r="317" spans="1:10" x14ac:dyDescent="0.25">
      <c r="A317" s="480"/>
      <c r="B317" s="481"/>
      <c r="C317" s="481"/>
      <c r="D317" s="481"/>
      <c r="E317" s="481"/>
      <c r="F317" s="481"/>
      <c r="G317" s="481"/>
      <c r="H317" s="481"/>
      <c r="I317" s="481"/>
      <c r="J317" s="482"/>
    </row>
    <row r="318" spans="1:10" x14ac:dyDescent="0.25">
      <c r="A318" s="480"/>
      <c r="B318" s="481"/>
      <c r="C318" s="481"/>
      <c r="D318" s="481"/>
      <c r="E318" s="481"/>
      <c r="F318" s="481"/>
      <c r="G318" s="481"/>
      <c r="H318" s="481"/>
      <c r="I318" s="481"/>
      <c r="J318" s="482"/>
    </row>
    <row r="319" spans="1:10" x14ac:dyDescent="0.25">
      <c r="A319" s="480"/>
      <c r="B319" s="481"/>
      <c r="C319" s="481"/>
      <c r="D319" s="481"/>
      <c r="E319" s="481"/>
      <c r="F319" s="481"/>
      <c r="G319" s="481"/>
      <c r="H319" s="481"/>
      <c r="I319" s="481"/>
      <c r="J319" s="482"/>
    </row>
    <row r="320" spans="1:10" x14ac:dyDescent="0.25">
      <c r="A320" s="480"/>
      <c r="B320" s="481"/>
      <c r="C320" s="481"/>
      <c r="D320" s="481"/>
      <c r="E320" s="481"/>
      <c r="F320" s="481"/>
      <c r="G320" s="481"/>
      <c r="H320" s="481"/>
      <c r="I320" s="481"/>
      <c r="J320" s="482"/>
    </row>
    <row r="321" spans="1:10" x14ac:dyDescent="0.25">
      <c r="A321" s="480"/>
      <c r="B321" s="481"/>
      <c r="C321" s="481"/>
      <c r="D321" s="481"/>
      <c r="E321" s="481"/>
      <c r="F321" s="481"/>
      <c r="G321" s="481"/>
      <c r="H321" s="481"/>
      <c r="I321" s="481"/>
      <c r="J321" s="482"/>
    </row>
    <row r="322" spans="1:10" x14ac:dyDescent="0.25">
      <c r="A322" s="480"/>
      <c r="B322" s="481"/>
      <c r="C322" s="481"/>
      <c r="D322" s="481"/>
      <c r="E322" s="481"/>
      <c r="F322" s="481"/>
      <c r="G322" s="481"/>
      <c r="H322" s="481"/>
      <c r="I322" s="481"/>
      <c r="J322" s="482"/>
    </row>
    <row r="323" spans="1:10" x14ac:dyDescent="0.25">
      <c r="A323" s="480"/>
      <c r="B323" s="481"/>
      <c r="C323" s="481"/>
      <c r="D323" s="481"/>
      <c r="E323" s="481"/>
      <c r="F323" s="481"/>
      <c r="G323" s="481"/>
      <c r="H323" s="481"/>
      <c r="I323" s="481"/>
      <c r="J323" s="482"/>
    </row>
    <row r="324" spans="1:10" x14ac:dyDescent="0.25">
      <c r="A324" s="480"/>
      <c r="B324" s="481"/>
      <c r="C324" s="481"/>
      <c r="D324" s="481"/>
      <c r="E324" s="481"/>
      <c r="F324" s="481"/>
      <c r="G324" s="481"/>
      <c r="H324" s="481"/>
      <c r="I324" s="481"/>
      <c r="J324" s="482"/>
    </row>
    <row r="325" spans="1:10" x14ac:dyDescent="0.25">
      <c r="A325" s="480"/>
      <c r="B325" s="481"/>
      <c r="C325" s="481"/>
      <c r="D325" s="481"/>
      <c r="E325" s="481"/>
      <c r="F325" s="481"/>
      <c r="G325" s="481"/>
      <c r="H325" s="481"/>
      <c r="I325" s="481"/>
      <c r="J325" s="482"/>
    </row>
    <row r="326" spans="1:10" x14ac:dyDescent="0.25">
      <c r="A326" s="480"/>
      <c r="B326" s="481"/>
      <c r="C326" s="481"/>
      <c r="D326" s="481"/>
      <c r="E326" s="481"/>
      <c r="F326" s="481"/>
      <c r="G326" s="481"/>
      <c r="H326" s="481"/>
      <c r="I326" s="481"/>
      <c r="J326" s="482"/>
    </row>
    <row r="327" spans="1:10" x14ac:dyDescent="0.25">
      <c r="A327" s="480"/>
      <c r="B327" s="481"/>
      <c r="C327" s="481"/>
      <c r="D327" s="481"/>
      <c r="E327" s="481"/>
      <c r="F327" s="481"/>
      <c r="G327" s="481"/>
      <c r="H327" s="481"/>
      <c r="I327" s="481"/>
      <c r="J327" s="482"/>
    </row>
    <row r="328" spans="1:10" x14ac:dyDescent="0.25">
      <c r="A328" s="480"/>
      <c r="B328" s="481"/>
      <c r="C328" s="481"/>
      <c r="D328" s="481"/>
      <c r="E328" s="481"/>
      <c r="F328" s="481"/>
      <c r="G328" s="481"/>
      <c r="H328" s="481"/>
      <c r="I328" s="481"/>
      <c r="J328" s="482"/>
    </row>
    <row r="329" spans="1:10" x14ac:dyDescent="0.25">
      <c r="A329" s="480"/>
      <c r="B329" s="481"/>
      <c r="C329" s="481"/>
      <c r="D329" s="481"/>
      <c r="E329" s="481"/>
      <c r="F329" s="481"/>
      <c r="G329" s="481"/>
      <c r="H329" s="481"/>
      <c r="I329" s="481"/>
      <c r="J329" s="482"/>
    </row>
    <row r="330" spans="1:10" x14ac:dyDescent="0.25">
      <c r="A330" s="480"/>
      <c r="B330" s="481"/>
      <c r="C330" s="481"/>
      <c r="D330" s="481"/>
      <c r="E330" s="481"/>
      <c r="F330" s="481"/>
      <c r="G330" s="481"/>
      <c r="H330" s="481"/>
      <c r="I330" s="481"/>
      <c r="J330" s="482"/>
    </row>
    <row r="331" spans="1:10" x14ac:dyDescent="0.25">
      <c r="A331" s="480"/>
      <c r="B331" s="481"/>
      <c r="C331" s="481"/>
      <c r="D331" s="481"/>
      <c r="E331" s="481"/>
      <c r="F331" s="481"/>
      <c r="G331" s="481"/>
      <c r="H331" s="481"/>
      <c r="I331" s="481"/>
      <c r="J331" s="482"/>
    </row>
    <row r="332" spans="1:10" x14ac:dyDescent="0.25">
      <c r="A332" s="480"/>
      <c r="B332" s="481"/>
      <c r="C332" s="481"/>
      <c r="D332" s="481"/>
      <c r="E332" s="481"/>
      <c r="F332" s="481"/>
      <c r="G332" s="481"/>
      <c r="H332" s="481"/>
      <c r="I332" s="481"/>
      <c r="J332" s="482"/>
    </row>
    <row r="333" spans="1:10" x14ac:dyDescent="0.25">
      <c r="A333" s="480"/>
      <c r="B333" s="481"/>
      <c r="C333" s="481"/>
      <c r="D333" s="481"/>
      <c r="E333" s="481"/>
      <c r="F333" s="481"/>
      <c r="G333" s="481"/>
      <c r="H333" s="481"/>
      <c r="I333" s="481"/>
      <c r="J333" s="482"/>
    </row>
    <row r="334" spans="1:10" x14ac:dyDescent="0.25">
      <c r="A334" s="480"/>
      <c r="B334" s="481"/>
      <c r="C334" s="481"/>
      <c r="D334" s="481"/>
      <c r="E334" s="481"/>
      <c r="F334" s="481"/>
      <c r="G334" s="481"/>
      <c r="H334" s="481"/>
      <c r="I334" s="481"/>
      <c r="J334" s="482"/>
    </row>
    <row r="335" spans="1:10" x14ac:dyDescent="0.25">
      <c r="A335" s="480"/>
      <c r="B335" s="481"/>
      <c r="C335" s="481"/>
      <c r="D335" s="481"/>
      <c r="E335" s="481"/>
      <c r="F335" s="481"/>
      <c r="G335" s="481"/>
      <c r="H335" s="481"/>
      <c r="I335" s="481"/>
      <c r="J335" s="482"/>
    </row>
    <row r="336" spans="1:10" x14ac:dyDescent="0.25">
      <c r="A336" s="480"/>
      <c r="B336" s="481"/>
      <c r="C336" s="481"/>
      <c r="D336" s="481"/>
      <c r="E336" s="481"/>
      <c r="F336" s="481"/>
      <c r="G336" s="481"/>
      <c r="H336" s="481"/>
      <c r="I336" s="481"/>
      <c r="J336" s="482"/>
    </row>
    <row r="337" spans="1:10" x14ac:dyDescent="0.25">
      <c r="A337" s="480"/>
      <c r="B337" s="481"/>
      <c r="C337" s="481"/>
      <c r="D337" s="481"/>
      <c r="E337" s="481"/>
      <c r="F337" s="481"/>
      <c r="G337" s="481"/>
      <c r="H337" s="481"/>
      <c r="I337" s="481"/>
      <c r="J337" s="482"/>
    </row>
    <row r="338" spans="1:10" x14ac:dyDescent="0.25">
      <c r="A338" s="480"/>
      <c r="B338" s="481"/>
      <c r="C338" s="481"/>
      <c r="D338" s="481"/>
      <c r="E338" s="481"/>
      <c r="F338" s="481"/>
      <c r="G338" s="481"/>
      <c r="H338" s="481"/>
      <c r="I338" s="481"/>
      <c r="J338" s="482"/>
    </row>
    <row r="339" spans="1:10" x14ac:dyDescent="0.25">
      <c r="A339" s="480"/>
      <c r="B339" s="481"/>
      <c r="C339" s="481"/>
      <c r="D339" s="481"/>
      <c r="E339" s="481"/>
      <c r="F339" s="481"/>
      <c r="G339" s="481"/>
      <c r="H339" s="481"/>
      <c r="I339" s="481"/>
      <c r="J339" s="482"/>
    </row>
    <row r="340" spans="1:10" x14ac:dyDescent="0.25">
      <c r="A340" s="480"/>
      <c r="B340" s="481"/>
      <c r="C340" s="481"/>
      <c r="D340" s="481"/>
      <c r="E340" s="481"/>
      <c r="F340" s="481"/>
      <c r="G340" s="481"/>
      <c r="H340" s="481"/>
      <c r="I340" s="481"/>
      <c r="J340" s="482"/>
    </row>
    <row r="341" spans="1:10" x14ac:dyDescent="0.25">
      <c r="A341" s="480"/>
      <c r="B341" s="481"/>
      <c r="C341" s="481"/>
      <c r="D341" s="481"/>
      <c r="E341" s="481"/>
      <c r="F341" s="481"/>
      <c r="G341" s="481"/>
      <c r="H341" s="481"/>
      <c r="I341" s="481"/>
      <c r="J341" s="482"/>
    </row>
    <row r="342" spans="1:10" x14ac:dyDescent="0.25">
      <c r="A342" s="480"/>
      <c r="B342" s="481"/>
      <c r="C342" s="481"/>
      <c r="D342" s="481"/>
      <c r="E342" s="481"/>
      <c r="F342" s="481"/>
      <c r="G342" s="481"/>
      <c r="H342" s="481"/>
      <c r="I342" s="481"/>
      <c r="J342" s="482"/>
    </row>
    <row r="343" spans="1:10" x14ac:dyDescent="0.25">
      <c r="A343" s="480"/>
      <c r="B343" s="481"/>
      <c r="C343" s="481"/>
      <c r="D343" s="481"/>
      <c r="E343" s="481"/>
      <c r="F343" s="481"/>
      <c r="G343" s="481"/>
      <c r="H343" s="481"/>
      <c r="I343" s="481"/>
      <c r="J343" s="482"/>
    </row>
    <row r="344" spans="1:10" x14ac:dyDescent="0.25">
      <c r="A344" s="483"/>
      <c r="B344" s="484"/>
      <c r="C344" s="484"/>
      <c r="D344" s="484"/>
      <c r="E344" s="484"/>
      <c r="F344" s="484"/>
      <c r="G344" s="484"/>
      <c r="H344" s="484"/>
      <c r="I344" s="484"/>
      <c r="J344" s="485"/>
    </row>
    <row r="346" spans="1:10" ht="15.6" x14ac:dyDescent="0.3">
      <c r="A346" s="351" t="s">
        <v>848</v>
      </c>
      <c r="B346" s="352"/>
      <c r="C346" s="352"/>
      <c r="D346" s="352"/>
      <c r="E346" s="352"/>
      <c r="F346" s="352"/>
      <c r="G346" s="352"/>
      <c r="H346" s="349" t="str">
        <f>'CONTACT INFORMATION'!$A$24</f>
        <v>Fresno</v>
      </c>
      <c r="I346" s="349"/>
      <c r="J346" s="350"/>
    </row>
    <row r="347" spans="1:10" ht="8.1" customHeight="1" x14ac:dyDescent="0.25">
      <c r="A347" s="163"/>
      <c r="B347" s="163"/>
      <c r="C347" s="163"/>
      <c r="D347" s="163"/>
      <c r="E347" s="163"/>
      <c r="F347" s="163"/>
      <c r="G347" s="163"/>
      <c r="H347" s="163"/>
      <c r="I347" s="163"/>
      <c r="J347" s="163"/>
    </row>
    <row r="348" spans="1:10" ht="13.8" x14ac:dyDescent="0.25">
      <c r="A348" s="458" t="s">
        <v>855</v>
      </c>
      <c r="B348" s="459"/>
      <c r="C348" s="459"/>
      <c r="D348" s="459"/>
      <c r="E348" s="459"/>
      <c r="F348" s="459"/>
      <c r="G348" s="459"/>
      <c r="H348" s="459"/>
      <c r="I348" s="459"/>
      <c r="J348" s="460"/>
    </row>
    <row r="349" spans="1:10" x14ac:dyDescent="0.25">
      <c r="A349" s="455" t="s">
        <v>854</v>
      </c>
      <c r="B349" s="456"/>
      <c r="C349" s="456"/>
      <c r="D349" s="457"/>
      <c r="E349" s="527" t="s">
        <v>931</v>
      </c>
      <c r="F349" s="528"/>
      <c r="G349" s="528"/>
      <c r="H349" s="528"/>
      <c r="I349" s="528"/>
      <c r="J349" s="529"/>
    </row>
    <row r="350" spans="1:10" x14ac:dyDescent="0.25">
      <c r="A350" s="495" t="s">
        <v>853</v>
      </c>
      <c r="B350" s="496"/>
      <c r="C350" s="496"/>
      <c r="D350" s="497"/>
      <c r="E350" s="530"/>
      <c r="F350" s="531"/>
      <c r="G350" s="531"/>
      <c r="H350" s="531"/>
      <c r="I350" s="531"/>
      <c r="J350" s="532"/>
    </row>
    <row r="351" spans="1:10" x14ac:dyDescent="0.25">
      <c r="A351" s="524" t="s">
        <v>808</v>
      </c>
      <c r="B351" s="525"/>
      <c r="C351" s="525"/>
      <c r="D351" s="526"/>
      <c r="E351" s="471" t="s">
        <v>498</v>
      </c>
      <c r="F351" s="472"/>
      <c r="G351" s="472"/>
      <c r="H351" s="472"/>
      <c r="I351" s="472"/>
      <c r="J351" s="473"/>
    </row>
    <row r="352" spans="1:10" ht="27" customHeight="1" x14ac:dyDescent="0.25">
      <c r="A352" s="157"/>
      <c r="B352" s="208"/>
      <c r="C352" s="208"/>
      <c r="D352" s="208"/>
      <c r="E352" s="474" t="s">
        <v>535</v>
      </c>
      <c r="F352" s="475"/>
      <c r="G352" s="474" t="s">
        <v>533</v>
      </c>
      <c r="H352" s="475"/>
      <c r="I352" s="476" t="s">
        <v>849</v>
      </c>
      <c r="J352" s="477"/>
    </row>
    <row r="353" spans="1:10" x14ac:dyDescent="0.25">
      <c r="A353" s="441" t="s">
        <v>527</v>
      </c>
      <c r="B353" s="442"/>
      <c r="C353" s="442"/>
      <c r="D353" s="443"/>
      <c r="E353" s="449"/>
      <c r="F353" s="449"/>
      <c r="G353" s="449"/>
      <c r="H353" s="449"/>
      <c r="I353" s="450"/>
      <c r="J353" s="450"/>
    </row>
    <row r="354" spans="1:10" x14ac:dyDescent="0.25">
      <c r="A354" s="445" t="s">
        <v>528</v>
      </c>
      <c r="B354" s="446"/>
      <c r="C354" s="446"/>
      <c r="D354" s="447"/>
      <c r="E354" s="432"/>
      <c r="F354" s="432"/>
      <c r="G354" s="433"/>
      <c r="H354" s="433"/>
      <c r="I354" s="448"/>
      <c r="J354" s="448"/>
    </row>
    <row r="355" spans="1:10" x14ac:dyDescent="0.25">
      <c r="A355" s="441" t="s">
        <v>529</v>
      </c>
      <c r="B355" s="442"/>
      <c r="C355" s="442"/>
      <c r="D355" s="443"/>
      <c r="E355" s="449"/>
      <c r="F355" s="449"/>
      <c r="G355" s="449"/>
      <c r="H355" s="449"/>
      <c r="I355" s="450"/>
      <c r="J355" s="450"/>
    </row>
    <row r="356" spans="1:10" x14ac:dyDescent="0.25">
      <c r="A356" s="445" t="s">
        <v>530</v>
      </c>
      <c r="B356" s="446"/>
      <c r="C356" s="446"/>
      <c r="D356" s="447"/>
      <c r="E356" s="432"/>
      <c r="F356" s="432"/>
      <c r="G356" s="433">
        <v>30000</v>
      </c>
      <c r="H356" s="433"/>
      <c r="I356" s="448"/>
      <c r="J356" s="448"/>
    </row>
    <row r="357" spans="1:10" x14ac:dyDescent="0.25">
      <c r="A357" s="441" t="s">
        <v>531</v>
      </c>
      <c r="B357" s="442"/>
      <c r="C357" s="442"/>
      <c r="D357" s="443"/>
      <c r="E357" s="449"/>
      <c r="F357" s="449"/>
      <c r="G357" s="449"/>
      <c r="H357" s="449"/>
      <c r="I357" s="450"/>
      <c r="J357" s="450"/>
    </row>
    <row r="358" spans="1:10" x14ac:dyDescent="0.25">
      <c r="A358" s="445" t="s">
        <v>532</v>
      </c>
      <c r="B358" s="446"/>
      <c r="C358" s="446"/>
      <c r="D358" s="447"/>
      <c r="E358" s="432"/>
      <c r="F358" s="432"/>
      <c r="G358" s="433"/>
      <c r="H358" s="433"/>
      <c r="I358" s="448"/>
      <c r="J358" s="448"/>
    </row>
    <row r="359" spans="1:10" x14ac:dyDescent="0.25">
      <c r="A359" s="441" t="s">
        <v>537</v>
      </c>
      <c r="B359" s="442"/>
      <c r="C359" s="442"/>
      <c r="D359" s="443"/>
      <c r="E359" s="444"/>
      <c r="F359" s="444"/>
      <c r="G359" s="444"/>
      <c r="H359" s="444"/>
      <c r="I359" s="438"/>
      <c r="J359" s="438"/>
    </row>
    <row r="360" spans="1:10" x14ac:dyDescent="0.25">
      <c r="A360" s="429"/>
      <c r="B360" s="430"/>
      <c r="C360" s="430"/>
      <c r="D360" s="431"/>
      <c r="E360" s="432"/>
      <c r="F360" s="432"/>
      <c r="G360" s="433"/>
      <c r="H360" s="433"/>
      <c r="I360" s="433"/>
      <c r="J360" s="433"/>
    </row>
    <row r="361" spans="1:10" x14ac:dyDescent="0.25">
      <c r="A361" s="429"/>
      <c r="B361" s="430"/>
      <c r="C361" s="430"/>
      <c r="D361" s="431"/>
      <c r="E361" s="432"/>
      <c r="F361" s="432"/>
      <c r="G361" s="433"/>
      <c r="H361" s="433"/>
      <c r="I361" s="433"/>
      <c r="J361" s="433"/>
    </row>
    <row r="362" spans="1:10" x14ac:dyDescent="0.25">
      <c r="A362" s="429"/>
      <c r="B362" s="430"/>
      <c r="C362" s="430"/>
      <c r="D362" s="431"/>
      <c r="E362" s="432"/>
      <c r="F362" s="432"/>
      <c r="G362" s="433"/>
      <c r="H362" s="433"/>
      <c r="I362" s="433"/>
      <c r="J362" s="433"/>
    </row>
    <row r="363" spans="1:10" x14ac:dyDescent="0.25">
      <c r="A363" s="434" t="s">
        <v>534</v>
      </c>
      <c r="B363" s="435"/>
      <c r="C363" s="435"/>
      <c r="D363" s="436"/>
      <c r="E363" s="437">
        <f>SUM(E353:E362)</f>
        <v>0</v>
      </c>
      <c r="F363" s="437"/>
      <c r="G363" s="437">
        <f>SUM(G353:G362)</f>
        <v>30000</v>
      </c>
      <c r="H363" s="437"/>
      <c r="I363" s="437">
        <f>SUM(I353:I362)</f>
        <v>0</v>
      </c>
      <c r="J363" s="437"/>
    </row>
    <row r="364" spans="1:10" x14ac:dyDescent="0.25">
      <c r="A364" s="486" t="s">
        <v>861</v>
      </c>
      <c r="B364" s="487"/>
      <c r="C364" s="487"/>
      <c r="D364" s="487"/>
      <c r="E364" s="487"/>
      <c r="F364" s="487"/>
      <c r="G364" s="487"/>
      <c r="H364" s="487"/>
      <c r="I364" s="487"/>
      <c r="J364" s="488"/>
    </row>
    <row r="365" spans="1:10" x14ac:dyDescent="0.25">
      <c r="A365" s="489" t="s">
        <v>862</v>
      </c>
      <c r="B365" s="490"/>
      <c r="C365" s="490"/>
      <c r="D365" s="490"/>
      <c r="E365" s="490"/>
      <c r="F365" s="490"/>
      <c r="G365" s="490"/>
      <c r="H365" s="490"/>
      <c r="I365" s="490"/>
      <c r="J365" s="491"/>
    </row>
    <row r="366" spans="1:10" x14ac:dyDescent="0.25">
      <c r="A366" s="489" t="s">
        <v>863</v>
      </c>
      <c r="B366" s="490"/>
      <c r="C366" s="490"/>
      <c r="D366" s="490"/>
      <c r="E366" s="490"/>
      <c r="F366" s="490"/>
      <c r="G366" s="490"/>
      <c r="H366" s="490"/>
      <c r="I366" s="490"/>
      <c r="J366" s="491"/>
    </row>
    <row r="367" spans="1:10" x14ac:dyDescent="0.25">
      <c r="A367" s="492" t="s">
        <v>864</v>
      </c>
      <c r="B367" s="493"/>
      <c r="C367" s="493"/>
      <c r="D367" s="493"/>
      <c r="E367" s="493"/>
      <c r="F367" s="493"/>
      <c r="G367" s="493"/>
      <c r="H367" s="493"/>
      <c r="I367" s="493"/>
      <c r="J367" s="494"/>
    </row>
    <row r="368" spans="1:10" x14ac:dyDescent="0.25">
      <c r="A368" s="300" t="s">
        <v>941</v>
      </c>
      <c r="B368" s="478"/>
      <c r="C368" s="478"/>
      <c r="D368" s="478"/>
      <c r="E368" s="478"/>
      <c r="F368" s="478"/>
      <c r="G368" s="478"/>
      <c r="H368" s="478"/>
      <c r="I368" s="478"/>
      <c r="J368" s="479"/>
    </row>
    <row r="369" spans="1:10" x14ac:dyDescent="0.25">
      <c r="A369" s="480"/>
      <c r="B369" s="481"/>
      <c r="C369" s="481"/>
      <c r="D369" s="481"/>
      <c r="E369" s="481"/>
      <c r="F369" s="481"/>
      <c r="G369" s="481"/>
      <c r="H369" s="481"/>
      <c r="I369" s="481"/>
      <c r="J369" s="482"/>
    </row>
    <row r="370" spans="1:10" x14ac:dyDescent="0.25">
      <c r="A370" s="480"/>
      <c r="B370" s="481"/>
      <c r="C370" s="481"/>
      <c r="D370" s="481"/>
      <c r="E370" s="481"/>
      <c r="F370" s="481"/>
      <c r="G370" s="481"/>
      <c r="H370" s="481"/>
      <c r="I370" s="481"/>
      <c r="J370" s="482"/>
    </row>
    <row r="371" spans="1:10" x14ac:dyDescent="0.25">
      <c r="A371" s="480"/>
      <c r="B371" s="481"/>
      <c r="C371" s="481"/>
      <c r="D371" s="481"/>
      <c r="E371" s="481"/>
      <c r="F371" s="481"/>
      <c r="G371" s="481"/>
      <c r="H371" s="481"/>
      <c r="I371" s="481"/>
      <c r="J371" s="482"/>
    </row>
    <row r="372" spans="1:10" x14ac:dyDescent="0.25">
      <c r="A372" s="480"/>
      <c r="B372" s="481"/>
      <c r="C372" s="481"/>
      <c r="D372" s="481"/>
      <c r="E372" s="481"/>
      <c r="F372" s="481"/>
      <c r="G372" s="481"/>
      <c r="H372" s="481"/>
      <c r="I372" s="481"/>
      <c r="J372" s="482"/>
    </row>
    <row r="373" spans="1:10" x14ac:dyDescent="0.25">
      <c r="A373" s="480"/>
      <c r="B373" s="481"/>
      <c r="C373" s="481"/>
      <c r="D373" s="481"/>
      <c r="E373" s="481"/>
      <c r="F373" s="481"/>
      <c r="G373" s="481"/>
      <c r="H373" s="481"/>
      <c r="I373" s="481"/>
      <c r="J373" s="482"/>
    </row>
    <row r="374" spans="1:10" x14ac:dyDescent="0.25">
      <c r="A374" s="480"/>
      <c r="B374" s="481"/>
      <c r="C374" s="481"/>
      <c r="D374" s="481"/>
      <c r="E374" s="481"/>
      <c r="F374" s="481"/>
      <c r="G374" s="481"/>
      <c r="H374" s="481"/>
      <c r="I374" s="481"/>
      <c r="J374" s="482"/>
    </row>
    <row r="375" spans="1:10" x14ac:dyDescent="0.25">
      <c r="A375" s="480"/>
      <c r="B375" s="481"/>
      <c r="C375" s="481"/>
      <c r="D375" s="481"/>
      <c r="E375" s="481"/>
      <c r="F375" s="481"/>
      <c r="G375" s="481"/>
      <c r="H375" s="481"/>
      <c r="I375" s="481"/>
      <c r="J375" s="482"/>
    </row>
    <row r="376" spans="1:10" x14ac:dyDescent="0.25">
      <c r="A376" s="480"/>
      <c r="B376" s="481"/>
      <c r="C376" s="481"/>
      <c r="D376" s="481"/>
      <c r="E376" s="481"/>
      <c r="F376" s="481"/>
      <c r="G376" s="481"/>
      <c r="H376" s="481"/>
      <c r="I376" s="481"/>
      <c r="J376" s="482"/>
    </row>
    <row r="377" spans="1:10" x14ac:dyDescent="0.25">
      <c r="A377" s="480"/>
      <c r="B377" s="481"/>
      <c r="C377" s="481"/>
      <c r="D377" s="481"/>
      <c r="E377" s="481"/>
      <c r="F377" s="481"/>
      <c r="G377" s="481"/>
      <c r="H377" s="481"/>
      <c r="I377" s="481"/>
      <c r="J377" s="482"/>
    </row>
    <row r="378" spans="1:10" x14ac:dyDescent="0.25">
      <c r="A378" s="480"/>
      <c r="B378" s="481"/>
      <c r="C378" s="481"/>
      <c r="D378" s="481"/>
      <c r="E378" s="481"/>
      <c r="F378" s="481"/>
      <c r="G378" s="481"/>
      <c r="H378" s="481"/>
      <c r="I378" s="481"/>
      <c r="J378" s="482"/>
    </row>
    <row r="379" spans="1:10" x14ac:dyDescent="0.25">
      <c r="A379" s="480"/>
      <c r="B379" s="481"/>
      <c r="C379" s="481"/>
      <c r="D379" s="481"/>
      <c r="E379" s="481"/>
      <c r="F379" s="481"/>
      <c r="G379" s="481"/>
      <c r="H379" s="481"/>
      <c r="I379" s="481"/>
      <c r="J379" s="482"/>
    </row>
    <row r="380" spans="1:10" x14ac:dyDescent="0.25">
      <c r="A380" s="480"/>
      <c r="B380" s="481"/>
      <c r="C380" s="481"/>
      <c r="D380" s="481"/>
      <c r="E380" s="481"/>
      <c r="F380" s="481"/>
      <c r="G380" s="481"/>
      <c r="H380" s="481"/>
      <c r="I380" s="481"/>
      <c r="J380" s="482"/>
    </row>
    <row r="381" spans="1:10" x14ac:dyDescent="0.25">
      <c r="A381" s="480"/>
      <c r="B381" s="481"/>
      <c r="C381" s="481"/>
      <c r="D381" s="481"/>
      <c r="E381" s="481"/>
      <c r="F381" s="481"/>
      <c r="G381" s="481"/>
      <c r="H381" s="481"/>
      <c r="I381" s="481"/>
      <c r="J381" s="482"/>
    </row>
    <row r="382" spans="1:10" x14ac:dyDescent="0.25">
      <c r="A382" s="480"/>
      <c r="B382" s="481"/>
      <c r="C382" s="481"/>
      <c r="D382" s="481"/>
      <c r="E382" s="481"/>
      <c r="F382" s="481"/>
      <c r="G382" s="481"/>
      <c r="H382" s="481"/>
      <c r="I382" s="481"/>
      <c r="J382" s="482"/>
    </row>
    <row r="383" spans="1:10" x14ac:dyDescent="0.25">
      <c r="A383" s="480"/>
      <c r="B383" s="481"/>
      <c r="C383" s="481"/>
      <c r="D383" s="481"/>
      <c r="E383" s="481"/>
      <c r="F383" s="481"/>
      <c r="G383" s="481"/>
      <c r="H383" s="481"/>
      <c r="I383" s="481"/>
      <c r="J383" s="482"/>
    </row>
    <row r="384" spans="1:10" x14ac:dyDescent="0.25">
      <c r="A384" s="480"/>
      <c r="B384" s="481"/>
      <c r="C384" s="481"/>
      <c r="D384" s="481"/>
      <c r="E384" s="481"/>
      <c r="F384" s="481"/>
      <c r="G384" s="481"/>
      <c r="H384" s="481"/>
      <c r="I384" s="481"/>
      <c r="J384" s="482"/>
    </row>
    <row r="385" spans="1:10" x14ac:dyDescent="0.25">
      <c r="A385" s="480"/>
      <c r="B385" s="481"/>
      <c r="C385" s="481"/>
      <c r="D385" s="481"/>
      <c r="E385" s="481"/>
      <c r="F385" s="481"/>
      <c r="G385" s="481"/>
      <c r="H385" s="481"/>
      <c r="I385" s="481"/>
      <c r="J385" s="482"/>
    </row>
    <row r="386" spans="1:10" x14ac:dyDescent="0.25">
      <c r="A386" s="480"/>
      <c r="B386" s="481"/>
      <c r="C386" s="481"/>
      <c r="D386" s="481"/>
      <c r="E386" s="481"/>
      <c r="F386" s="481"/>
      <c r="G386" s="481"/>
      <c r="H386" s="481"/>
      <c r="I386" s="481"/>
      <c r="J386" s="482"/>
    </row>
    <row r="387" spans="1:10" x14ac:dyDescent="0.25">
      <c r="A387" s="480"/>
      <c r="B387" s="481"/>
      <c r="C387" s="481"/>
      <c r="D387" s="481"/>
      <c r="E387" s="481"/>
      <c r="F387" s="481"/>
      <c r="G387" s="481"/>
      <c r="H387" s="481"/>
      <c r="I387" s="481"/>
      <c r="J387" s="482"/>
    </row>
    <row r="388" spans="1:10" x14ac:dyDescent="0.25">
      <c r="A388" s="480"/>
      <c r="B388" s="481"/>
      <c r="C388" s="481"/>
      <c r="D388" s="481"/>
      <c r="E388" s="481"/>
      <c r="F388" s="481"/>
      <c r="G388" s="481"/>
      <c r="H388" s="481"/>
      <c r="I388" s="481"/>
      <c r="J388" s="482"/>
    </row>
    <row r="389" spans="1:10" x14ac:dyDescent="0.25">
      <c r="A389" s="480"/>
      <c r="B389" s="481"/>
      <c r="C389" s="481"/>
      <c r="D389" s="481"/>
      <c r="E389" s="481"/>
      <c r="F389" s="481"/>
      <c r="G389" s="481"/>
      <c r="H389" s="481"/>
      <c r="I389" s="481"/>
      <c r="J389" s="482"/>
    </row>
    <row r="390" spans="1:10" x14ac:dyDescent="0.25">
      <c r="A390" s="480"/>
      <c r="B390" s="481"/>
      <c r="C390" s="481"/>
      <c r="D390" s="481"/>
      <c r="E390" s="481"/>
      <c r="F390" s="481"/>
      <c r="G390" s="481"/>
      <c r="H390" s="481"/>
      <c r="I390" s="481"/>
      <c r="J390" s="482"/>
    </row>
    <row r="391" spans="1:10" x14ac:dyDescent="0.25">
      <c r="A391" s="480"/>
      <c r="B391" s="481"/>
      <c r="C391" s="481"/>
      <c r="D391" s="481"/>
      <c r="E391" s="481"/>
      <c r="F391" s="481"/>
      <c r="G391" s="481"/>
      <c r="H391" s="481"/>
      <c r="I391" s="481"/>
      <c r="J391" s="482"/>
    </row>
    <row r="392" spans="1:10" x14ac:dyDescent="0.25">
      <c r="A392" s="480"/>
      <c r="B392" s="481"/>
      <c r="C392" s="481"/>
      <c r="D392" s="481"/>
      <c r="E392" s="481"/>
      <c r="F392" s="481"/>
      <c r="G392" s="481"/>
      <c r="H392" s="481"/>
      <c r="I392" s="481"/>
      <c r="J392" s="482"/>
    </row>
    <row r="393" spans="1:10" x14ac:dyDescent="0.25">
      <c r="A393" s="480"/>
      <c r="B393" s="481"/>
      <c r="C393" s="481"/>
      <c r="D393" s="481"/>
      <c r="E393" s="481"/>
      <c r="F393" s="481"/>
      <c r="G393" s="481"/>
      <c r="H393" s="481"/>
      <c r="I393" s="481"/>
      <c r="J393" s="482"/>
    </row>
    <row r="394" spans="1:10" x14ac:dyDescent="0.25">
      <c r="A394" s="480"/>
      <c r="B394" s="481"/>
      <c r="C394" s="481"/>
      <c r="D394" s="481"/>
      <c r="E394" s="481"/>
      <c r="F394" s="481"/>
      <c r="G394" s="481"/>
      <c r="H394" s="481"/>
      <c r="I394" s="481"/>
      <c r="J394" s="482"/>
    </row>
    <row r="395" spans="1:10" x14ac:dyDescent="0.25">
      <c r="A395" s="480"/>
      <c r="B395" s="481"/>
      <c r="C395" s="481"/>
      <c r="D395" s="481"/>
      <c r="E395" s="481"/>
      <c r="F395" s="481"/>
      <c r="G395" s="481"/>
      <c r="H395" s="481"/>
      <c r="I395" s="481"/>
      <c r="J395" s="482"/>
    </row>
    <row r="396" spans="1:10" x14ac:dyDescent="0.25">
      <c r="A396" s="480"/>
      <c r="B396" s="481"/>
      <c r="C396" s="481"/>
      <c r="D396" s="481"/>
      <c r="E396" s="481"/>
      <c r="F396" s="481"/>
      <c r="G396" s="481"/>
      <c r="H396" s="481"/>
      <c r="I396" s="481"/>
      <c r="J396" s="482"/>
    </row>
    <row r="397" spans="1:10" x14ac:dyDescent="0.25">
      <c r="A397" s="480"/>
      <c r="B397" s="481"/>
      <c r="C397" s="481"/>
      <c r="D397" s="481"/>
      <c r="E397" s="481"/>
      <c r="F397" s="481"/>
      <c r="G397" s="481"/>
      <c r="H397" s="481"/>
      <c r="I397" s="481"/>
      <c r="J397" s="482"/>
    </row>
    <row r="398" spans="1:10" x14ac:dyDescent="0.25">
      <c r="A398" s="480"/>
      <c r="B398" s="481"/>
      <c r="C398" s="481"/>
      <c r="D398" s="481"/>
      <c r="E398" s="481"/>
      <c r="F398" s="481"/>
      <c r="G398" s="481"/>
      <c r="H398" s="481"/>
      <c r="I398" s="481"/>
      <c r="J398" s="482"/>
    </row>
    <row r="399" spans="1:10" x14ac:dyDescent="0.25">
      <c r="A399" s="480"/>
      <c r="B399" s="481"/>
      <c r="C399" s="481"/>
      <c r="D399" s="481"/>
      <c r="E399" s="481"/>
      <c r="F399" s="481"/>
      <c r="G399" s="481"/>
      <c r="H399" s="481"/>
      <c r="I399" s="481"/>
      <c r="J399" s="482"/>
    </row>
    <row r="400" spans="1:10" x14ac:dyDescent="0.25">
      <c r="A400" s="480"/>
      <c r="B400" s="481"/>
      <c r="C400" s="481"/>
      <c r="D400" s="481"/>
      <c r="E400" s="481"/>
      <c r="F400" s="481"/>
      <c r="G400" s="481"/>
      <c r="H400" s="481"/>
      <c r="I400" s="481"/>
      <c r="J400" s="482"/>
    </row>
    <row r="401" spans="1:10" x14ac:dyDescent="0.25">
      <c r="A401" s="480"/>
      <c r="B401" s="481"/>
      <c r="C401" s="481"/>
      <c r="D401" s="481"/>
      <c r="E401" s="481"/>
      <c r="F401" s="481"/>
      <c r="G401" s="481"/>
      <c r="H401" s="481"/>
      <c r="I401" s="481"/>
      <c r="J401" s="482"/>
    </row>
    <row r="402" spans="1:10" x14ac:dyDescent="0.25">
      <c r="A402" s="483"/>
      <c r="B402" s="484"/>
      <c r="C402" s="484"/>
      <c r="D402" s="484"/>
      <c r="E402" s="484"/>
      <c r="F402" s="484"/>
      <c r="G402" s="484"/>
      <c r="H402" s="484"/>
      <c r="I402" s="484"/>
      <c r="J402" s="485"/>
    </row>
    <row r="404" spans="1:10" ht="15.6" x14ac:dyDescent="0.3">
      <c r="A404" s="351" t="s">
        <v>848</v>
      </c>
      <c r="B404" s="352"/>
      <c r="C404" s="352"/>
      <c r="D404" s="352"/>
      <c r="E404" s="352"/>
      <c r="F404" s="352"/>
      <c r="G404" s="352"/>
      <c r="H404" s="349" t="str">
        <f>'CONTACT INFORMATION'!$A$24</f>
        <v>Fresno</v>
      </c>
      <c r="I404" s="349"/>
      <c r="J404" s="350"/>
    </row>
    <row r="405" spans="1:10" ht="8.1" customHeight="1" x14ac:dyDescent="0.25">
      <c r="A405" s="163"/>
      <c r="B405" s="163"/>
      <c r="C405" s="163"/>
      <c r="D405" s="163"/>
      <c r="E405" s="163"/>
      <c r="F405" s="163"/>
      <c r="G405" s="163"/>
      <c r="H405" s="163"/>
      <c r="I405" s="163"/>
      <c r="J405" s="163"/>
    </row>
    <row r="406" spans="1:10" ht="13.8" x14ac:dyDescent="0.25">
      <c r="A406" s="458" t="s">
        <v>856</v>
      </c>
      <c r="B406" s="459"/>
      <c r="C406" s="459"/>
      <c r="D406" s="459"/>
      <c r="E406" s="459"/>
      <c r="F406" s="459"/>
      <c r="G406" s="459"/>
      <c r="H406" s="459"/>
      <c r="I406" s="459"/>
      <c r="J406" s="460"/>
    </row>
    <row r="407" spans="1:10" x14ac:dyDescent="0.25">
      <c r="A407" s="455" t="s">
        <v>854</v>
      </c>
      <c r="B407" s="456"/>
      <c r="C407" s="456"/>
      <c r="D407" s="457"/>
      <c r="E407" s="527" t="s">
        <v>942</v>
      </c>
      <c r="F407" s="528"/>
      <c r="G407" s="528"/>
      <c r="H407" s="528"/>
      <c r="I407" s="528"/>
      <c r="J407" s="529"/>
    </row>
    <row r="408" spans="1:10" x14ac:dyDescent="0.25">
      <c r="A408" s="495" t="s">
        <v>853</v>
      </c>
      <c r="B408" s="496"/>
      <c r="C408" s="496"/>
      <c r="D408" s="497"/>
      <c r="E408" s="530"/>
      <c r="F408" s="531"/>
      <c r="G408" s="531"/>
      <c r="H408" s="531"/>
      <c r="I408" s="531"/>
      <c r="J408" s="532"/>
    </row>
    <row r="409" spans="1:10" x14ac:dyDescent="0.25">
      <c r="A409" s="524" t="s">
        <v>808</v>
      </c>
      <c r="B409" s="525"/>
      <c r="C409" s="525"/>
      <c r="D409" s="526"/>
      <c r="E409" s="471" t="s">
        <v>501</v>
      </c>
      <c r="F409" s="472"/>
      <c r="G409" s="472"/>
      <c r="H409" s="472"/>
      <c r="I409" s="472"/>
      <c r="J409" s="473"/>
    </row>
    <row r="410" spans="1:10" ht="27" customHeight="1" x14ac:dyDescent="0.25">
      <c r="A410" s="157"/>
      <c r="B410" s="208"/>
      <c r="C410" s="208"/>
      <c r="D410" s="208"/>
      <c r="E410" s="474" t="s">
        <v>535</v>
      </c>
      <c r="F410" s="475"/>
      <c r="G410" s="474" t="s">
        <v>533</v>
      </c>
      <c r="H410" s="475"/>
      <c r="I410" s="476" t="s">
        <v>849</v>
      </c>
      <c r="J410" s="477"/>
    </row>
    <row r="411" spans="1:10" x14ac:dyDescent="0.25">
      <c r="A411" s="441" t="s">
        <v>527</v>
      </c>
      <c r="B411" s="442"/>
      <c r="C411" s="442"/>
      <c r="D411" s="443"/>
      <c r="E411" s="449"/>
      <c r="F411" s="449"/>
      <c r="G411" s="449"/>
      <c r="H411" s="449"/>
      <c r="I411" s="450"/>
      <c r="J411" s="450"/>
    </row>
    <row r="412" spans="1:10" x14ac:dyDescent="0.25">
      <c r="A412" s="445" t="s">
        <v>528</v>
      </c>
      <c r="B412" s="446"/>
      <c r="C412" s="446"/>
      <c r="D412" s="447"/>
      <c r="E412" s="432"/>
      <c r="F412" s="432"/>
      <c r="G412" s="433"/>
      <c r="H412" s="433"/>
      <c r="I412" s="448"/>
      <c r="J412" s="448"/>
    </row>
    <row r="413" spans="1:10" x14ac:dyDescent="0.25">
      <c r="A413" s="441" t="s">
        <v>529</v>
      </c>
      <c r="B413" s="442"/>
      <c r="C413" s="442"/>
      <c r="D413" s="443"/>
      <c r="E413" s="449"/>
      <c r="F413" s="449"/>
      <c r="G413" s="449"/>
      <c r="H413" s="449"/>
      <c r="I413" s="450"/>
      <c r="J413" s="450"/>
    </row>
    <row r="414" spans="1:10" x14ac:dyDescent="0.25">
      <c r="A414" s="445" t="s">
        <v>530</v>
      </c>
      <c r="B414" s="446"/>
      <c r="C414" s="446"/>
      <c r="D414" s="447"/>
      <c r="E414" s="432"/>
      <c r="F414" s="432"/>
      <c r="G414" s="433">
        <v>42000</v>
      </c>
      <c r="H414" s="433"/>
      <c r="I414" s="448"/>
      <c r="J414" s="448"/>
    </row>
    <row r="415" spans="1:10" x14ac:dyDescent="0.25">
      <c r="A415" s="441" t="s">
        <v>531</v>
      </c>
      <c r="B415" s="442"/>
      <c r="C415" s="442"/>
      <c r="D415" s="443"/>
      <c r="E415" s="449"/>
      <c r="F415" s="449"/>
      <c r="G415" s="449"/>
      <c r="H415" s="449"/>
      <c r="I415" s="450"/>
      <c r="J415" s="450"/>
    </row>
    <row r="416" spans="1:10" x14ac:dyDescent="0.25">
      <c r="A416" s="445" t="s">
        <v>532</v>
      </c>
      <c r="B416" s="446"/>
      <c r="C416" s="446"/>
      <c r="D416" s="447"/>
      <c r="E416" s="432"/>
      <c r="F416" s="432"/>
      <c r="G416" s="433"/>
      <c r="H416" s="433"/>
      <c r="I416" s="448"/>
      <c r="J416" s="448"/>
    </row>
    <row r="417" spans="1:10" x14ac:dyDescent="0.25">
      <c r="A417" s="441" t="s">
        <v>537</v>
      </c>
      <c r="B417" s="442"/>
      <c r="C417" s="442"/>
      <c r="D417" s="443"/>
      <c r="E417" s="444"/>
      <c r="F417" s="444"/>
      <c r="G417" s="444"/>
      <c r="H417" s="444"/>
      <c r="I417" s="438"/>
      <c r="J417" s="438"/>
    </row>
    <row r="418" spans="1:10" x14ac:dyDescent="0.25">
      <c r="A418" s="429"/>
      <c r="B418" s="430"/>
      <c r="C418" s="430"/>
      <c r="D418" s="431"/>
      <c r="E418" s="432"/>
      <c r="F418" s="432"/>
      <c r="G418" s="433"/>
      <c r="H418" s="433"/>
      <c r="I418" s="433"/>
      <c r="J418" s="433"/>
    </row>
    <row r="419" spans="1:10" x14ac:dyDescent="0.25">
      <c r="A419" s="429"/>
      <c r="B419" s="430"/>
      <c r="C419" s="430"/>
      <c r="D419" s="431"/>
      <c r="E419" s="432"/>
      <c r="F419" s="432"/>
      <c r="G419" s="433"/>
      <c r="H419" s="433"/>
      <c r="I419" s="433"/>
      <c r="J419" s="433"/>
    </row>
    <row r="420" spans="1:10" x14ac:dyDescent="0.25">
      <c r="A420" s="429"/>
      <c r="B420" s="430"/>
      <c r="C420" s="430"/>
      <c r="D420" s="431"/>
      <c r="E420" s="432"/>
      <c r="F420" s="432"/>
      <c r="G420" s="433"/>
      <c r="H420" s="433"/>
      <c r="I420" s="433"/>
      <c r="J420" s="433"/>
    </row>
    <row r="421" spans="1:10" x14ac:dyDescent="0.25">
      <c r="A421" s="434" t="s">
        <v>534</v>
      </c>
      <c r="B421" s="435"/>
      <c r="C421" s="435"/>
      <c r="D421" s="436"/>
      <c r="E421" s="437">
        <f>SUM(E411:E420)</f>
        <v>0</v>
      </c>
      <c r="F421" s="437"/>
      <c r="G421" s="437">
        <f>SUM(G411:G420)</f>
        <v>42000</v>
      </c>
      <c r="H421" s="437"/>
      <c r="I421" s="437">
        <f>SUM(I411:I420)</f>
        <v>0</v>
      </c>
      <c r="J421" s="437"/>
    </row>
    <row r="422" spans="1:10" x14ac:dyDescent="0.25">
      <c r="A422" s="486" t="s">
        <v>861</v>
      </c>
      <c r="B422" s="487"/>
      <c r="C422" s="487"/>
      <c r="D422" s="487"/>
      <c r="E422" s="487"/>
      <c r="F422" s="487"/>
      <c r="G422" s="487"/>
      <c r="H422" s="487"/>
      <c r="I422" s="487"/>
      <c r="J422" s="488"/>
    </row>
    <row r="423" spans="1:10" x14ac:dyDescent="0.25">
      <c r="A423" s="489" t="s">
        <v>862</v>
      </c>
      <c r="B423" s="490"/>
      <c r="C423" s="490"/>
      <c r="D423" s="490"/>
      <c r="E423" s="490"/>
      <c r="F423" s="490"/>
      <c r="G423" s="490"/>
      <c r="H423" s="490"/>
      <c r="I423" s="490"/>
      <c r="J423" s="491"/>
    </row>
    <row r="424" spans="1:10" x14ac:dyDescent="0.25">
      <c r="A424" s="489" t="s">
        <v>863</v>
      </c>
      <c r="B424" s="490"/>
      <c r="C424" s="490"/>
      <c r="D424" s="490"/>
      <c r="E424" s="490"/>
      <c r="F424" s="490"/>
      <c r="G424" s="490"/>
      <c r="H424" s="490"/>
      <c r="I424" s="490"/>
      <c r="J424" s="491"/>
    </row>
    <row r="425" spans="1:10" x14ac:dyDescent="0.25">
      <c r="A425" s="492" t="s">
        <v>864</v>
      </c>
      <c r="B425" s="493"/>
      <c r="C425" s="493"/>
      <c r="D425" s="493"/>
      <c r="E425" s="493"/>
      <c r="F425" s="493"/>
      <c r="G425" s="493"/>
      <c r="H425" s="493"/>
      <c r="I425" s="493"/>
      <c r="J425" s="494"/>
    </row>
    <row r="426" spans="1:10" x14ac:dyDescent="0.25">
      <c r="A426" s="300" t="s">
        <v>952</v>
      </c>
      <c r="B426" s="478"/>
      <c r="C426" s="478"/>
      <c r="D426" s="478"/>
      <c r="E426" s="478"/>
      <c r="F426" s="478"/>
      <c r="G426" s="478"/>
      <c r="H426" s="478"/>
      <c r="I426" s="478"/>
      <c r="J426" s="479"/>
    </row>
    <row r="427" spans="1:10" x14ac:dyDescent="0.25">
      <c r="A427" s="480"/>
      <c r="B427" s="481"/>
      <c r="C427" s="481"/>
      <c r="D427" s="481"/>
      <c r="E427" s="481"/>
      <c r="F427" s="481"/>
      <c r="G427" s="481"/>
      <c r="H427" s="481"/>
      <c r="I427" s="481"/>
      <c r="J427" s="482"/>
    </row>
    <row r="428" spans="1:10" x14ac:dyDescent="0.25">
      <c r="A428" s="480"/>
      <c r="B428" s="481"/>
      <c r="C428" s="481"/>
      <c r="D428" s="481"/>
      <c r="E428" s="481"/>
      <c r="F428" s="481"/>
      <c r="G428" s="481"/>
      <c r="H428" s="481"/>
      <c r="I428" s="481"/>
      <c r="J428" s="482"/>
    </row>
    <row r="429" spans="1:10" x14ac:dyDescent="0.25">
      <c r="A429" s="480"/>
      <c r="B429" s="481"/>
      <c r="C429" s="481"/>
      <c r="D429" s="481"/>
      <c r="E429" s="481"/>
      <c r="F429" s="481"/>
      <c r="G429" s="481"/>
      <c r="H429" s="481"/>
      <c r="I429" s="481"/>
      <c r="J429" s="482"/>
    </row>
    <row r="430" spans="1:10" x14ac:dyDescent="0.25">
      <c r="A430" s="480"/>
      <c r="B430" s="481"/>
      <c r="C430" s="481"/>
      <c r="D430" s="481"/>
      <c r="E430" s="481"/>
      <c r="F430" s="481"/>
      <c r="G430" s="481"/>
      <c r="H430" s="481"/>
      <c r="I430" s="481"/>
      <c r="J430" s="482"/>
    </row>
    <row r="431" spans="1:10" x14ac:dyDescent="0.25">
      <c r="A431" s="480"/>
      <c r="B431" s="481"/>
      <c r="C431" s="481"/>
      <c r="D431" s="481"/>
      <c r="E431" s="481"/>
      <c r="F431" s="481"/>
      <c r="G431" s="481"/>
      <c r="H431" s="481"/>
      <c r="I431" s="481"/>
      <c r="J431" s="482"/>
    </row>
    <row r="432" spans="1:10" x14ac:dyDescent="0.25">
      <c r="A432" s="480"/>
      <c r="B432" s="481"/>
      <c r="C432" s="481"/>
      <c r="D432" s="481"/>
      <c r="E432" s="481"/>
      <c r="F432" s="481"/>
      <c r="G432" s="481"/>
      <c r="H432" s="481"/>
      <c r="I432" s="481"/>
      <c r="J432" s="482"/>
    </row>
    <row r="433" spans="1:10" x14ac:dyDescent="0.25">
      <c r="A433" s="480"/>
      <c r="B433" s="481"/>
      <c r="C433" s="481"/>
      <c r="D433" s="481"/>
      <c r="E433" s="481"/>
      <c r="F433" s="481"/>
      <c r="G433" s="481"/>
      <c r="H433" s="481"/>
      <c r="I433" s="481"/>
      <c r="J433" s="482"/>
    </row>
    <row r="434" spans="1:10" x14ac:dyDescent="0.25">
      <c r="A434" s="480"/>
      <c r="B434" s="481"/>
      <c r="C434" s="481"/>
      <c r="D434" s="481"/>
      <c r="E434" s="481"/>
      <c r="F434" s="481"/>
      <c r="G434" s="481"/>
      <c r="H434" s="481"/>
      <c r="I434" s="481"/>
      <c r="J434" s="482"/>
    </row>
    <row r="435" spans="1:10" x14ac:dyDescent="0.25">
      <c r="A435" s="480"/>
      <c r="B435" s="481"/>
      <c r="C435" s="481"/>
      <c r="D435" s="481"/>
      <c r="E435" s="481"/>
      <c r="F435" s="481"/>
      <c r="G435" s="481"/>
      <c r="H435" s="481"/>
      <c r="I435" s="481"/>
      <c r="J435" s="482"/>
    </row>
    <row r="436" spans="1:10" x14ac:dyDescent="0.25">
      <c r="A436" s="480"/>
      <c r="B436" s="481"/>
      <c r="C436" s="481"/>
      <c r="D436" s="481"/>
      <c r="E436" s="481"/>
      <c r="F436" s="481"/>
      <c r="G436" s="481"/>
      <c r="H436" s="481"/>
      <c r="I436" s="481"/>
      <c r="J436" s="482"/>
    </row>
    <row r="437" spans="1:10" x14ac:dyDescent="0.25">
      <c r="A437" s="480"/>
      <c r="B437" s="481"/>
      <c r="C437" s="481"/>
      <c r="D437" s="481"/>
      <c r="E437" s="481"/>
      <c r="F437" s="481"/>
      <c r="G437" s="481"/>
      <c r="H437" s="481"/>
      <c r="I437" s="481"/>
      <c r="J437" s="482"/>
    </row>
    <row r="438" spans="1:10" x14ac:dyDescent="0.25">
      <c r="A438" s="480"/>
      <c r="B438" s="481"/>
      <c r="C438" s="481"/>
      <c r="D438" s="481"/>
      <c r="E438" s="481"/>
      <c r="F438" s="481"/>
      <c r="G438" s="481"/>
      <c r="H438" s="481"/>
      <c r="I438" s="481"/>
      <c r="J438" s="482"/>
    </row>
    <row r="439" spans="1:10" x14ac:dyDescent="0.25">
      <c r="A439" s="480"/>
      <c r="B439" s="481"/>
      <c r="C439" s="481"/>
      <c r="D439" s="481"/>
      <c r="E439" s="481"/>
      <c r="F439" s="481"/>
      <c r="G439" s="481"/>
      <c r="H439" s="481"/>
      <c r="I439" s="481"/>
      <c r="J439" s="482"/>
    </row>
    <row r="440" spans="1:10" x14ac:dyDescent="0.25">
      <c r="A440" s="480"/>
      <c r="B440" s="481"/>
      <c r="C440" s="481"/>
      <c r="D440" s="481"/>
      <c r="E440" s="481"/>
      <c r="F440" s="481"/>
      <c r="G440" s="481"/>
      <c r="H440" s="481"/>
      <c r="I440" s="481"/>
      <c r="J440" s="482"/>
    </row>
    <row r="441" spans="1:10" x14ac:dyDescent="0.25">
      <c r="A441" s="480"/>
      <c r="B441" s="481"/>
      <c r="C441" s="481"/>
      <c r="D441" s="481"/>
      <c r="E441" s="481"/>
      <c r="F441" s="481"/>
      <c r="G441" s="481"/>
      <c r="H441" s="481"/>
      <c r="I441" s="481"/>
      <c r="J441" s="482"/>
    </row>
    <row r="442" spans="1:10" x14ac:dyDescent="0.25">
      <c r="A442" s="480"/>
      <c r="B442" s="481"/>
      <c r="C442" s="481"/>
      <c r="D442" s="481"/>
      <c r="E442" s="481"/>
      <c r="F442" s="481"/>
      <c r="G442" s="481"/>
      <c r="H442" s="481"/>
      <c r="I442" s="481"/>
      <c r="J442" s="482"/>
    </row>
    <row r="443" spans="1:10" x14ac:dyDescent="0.25">
      <c r="A443" s="480"/>
      <c r="B443" s="481"/>
      <c r="C443" s="481"/>
      <c r="D443" s="481"/>
      <c r="E443" s="481"/>
      <c r="F443" s="481"/>
      <c r="G443" s="481"/>
      <c r="H443" s="481"/>
      <c r="I443" s="481"/>
      <c r="J443" s="482"/>
    </row>
    <row r="444" spans="1:10" x14ac:dyDescent="0.25">
      <c r="A444" s="480"/>
      <c r="B444" s="481"/>
      <c r="C444" s="481"/>
      <c r="D444" s="481"/>
      <c r="E444" s="481"/>
      <c r="F444" s="481"/>
      <c r="G444" s="481"/>
      <c r="H444" s="481"/>
      <c r="I444" s="481"/>
      <c r="J444" s="482"/>
    </row>
    <row r="445" spans="1:10" x14ac:dyDescent="0.25">
      <c r="A445" s="480"/>
      <c r="B445" s="481"/>
      <c r="C445" s="481"/>
      <c r="D445" s="481"/>
      <c r="E445" s="481"/>
      <c r="F445" s="481"/>
      <c r="G445" s="481"/>
      <c r="H445" s="481"/>
      <c r="I445" s="481"/>
      <c r="J445" s="482"/>
    </row>
    <row r="446" spans="1:10" x14ac:dyDescent="0.25">
      <c r="A446" s="480"/>
      <c r="B446" s="481"/>
      <c r="C446" s="481"/>
      <c r="D446" s="481"/>
      <c r="E446" s="481"/>
      <c r="F446" s="481"/>
      <c r="G446" s="481"/>
      <c r="H446" s="481"/>
      <c r="I446" s="481"/>
      <c r="J446" s="482"/>
    </row>
    <row r="447" spans="1:10" x14ac:dyDescent="0.25">
      <c r="A447" s="480"/>
      <c r="B447" s="481"/>
      <c r="C447" s="481"/>
      <c r="D447" s="481"/>
      <c r="E447" s="481"/>
      <c r="F447" s="481"/>
      <c r="G447" s="481"/>
      <c r="H447" s="481"/>
      <c r="I447" s="481"/>
      <c r="J447" s="482"/>
    </row>
    <row r="448" spans="1:10" x14ac:dyDescent="0.25">
      <c r="A448" s="480"/>
      <c r="B448" s="481"/>
      <c r="C448" s="481"/>
      <c r="D448" s="481"/>
      <c r="E448" s="481"/>
      <c r="F448" s="481"/>
      <c r="G448" s="481"/>
      <c r="H448" s="481"/>
      <c r="I448" s="481"/>
      <c r="J448" s="482"/>
    </row>
    <row r="449" spans="1:10" x14ac:dyDescent="0.25">
      <c r="A449" s="480"/>
      <c r="B449" s="481"/>
      <c r="C449" s="481"/>
      <c r="D449" s="481"/>
      <c r="E449" s="481"/>
      <c r="F449" s="481"/>
      <c r="G449" s="481"/>
      <c r="H449" s="481"/>
      <c r="I449" s="481"/>
      <c r="J449" s="482"/>
    </row>
    <row r="450" spans="1:10" x14ac:dyDescent="0.25">
      <c r="A450" s="480"/>
      <c r="B450" s="481"/>
      <c r="C450" s="481"/>
      <c r="D450" s="481"/>
      <c r="E450" s="481"/>
      <c r="F450" s="481"/>
      <c r="G450" s="481"/>
      <c r="H450" s="481"/>
      <c r="I450" s="481"/>
      <c r="J450" s="482"/>
    </row>
    <row r="451" spans="1:10" x14ac:dyDescent="0.25">
      <c r="A451" s="480"/>
      <c r="B451" s="481"/>
      <c r="C451" s="481"/>
      <c r="D451" s="481"/>
      <c r="E451" s="481"/>
      <c r="F451" s="481"/>
      <c r="G451" s="481"/>
      <c r="H451" s="481"/>
      <c r="I451" s="481"/>
      <c r="J451" s="482"/>
    </row>
    <row r="452" spans="1:10" x14ac:dyDescent="0.25">
      <c r="A452" s="480"/>
      <c r="B452" s="481"/>
      <c r="C452" s="481"/>
      <c r="D452" s="481"/>
      <c r="E452" s="481"/>
      <c r="F452" s="481"/>
      <c r="G452" s="481"/>
      <c r="H452" s="481"/>
      <c r="I452" s="481"/>
      <c r="J452" s="482"/>
    </row>
    <row r="453" spans="1:10" x14ac:dyDescent="0.25">
      <c r="A453" s="480"/>
      <c r="B453" s="481"/>
      <c r="C453" s="481"/>
      <c r="D453" s="481"/>
      <c r="E453" s="481"/>
      <c r="F453" s="481"/>
      <c r="G453" s="481"/>
      <c r="H453" s="481"/>
      <c r="I453" s="481"/>
      <c r="J453" s="482"/>
    </row>
    <row r="454" spans="1:10" x14ac:dyDescent="0.25">
      <c r="A454" s="480"/>
      <c r="B454" s="481"/>
      <c r="C454" s="481"/>
      <c r="D454" s="481"/>
      <c r="E454" s="481"/>
      <c r="F454" s="481"/>
      <c r="G454" s="481"/>
      <c r="H454" s="481"/>
      <c r="I454" s="481"/>
      <c r="J454" s="482"/>
    </row>
    <row r="455" spans="1:10" x14ac:dyDescent="0.25">
      <c r="A455" s="480"/>
      <c r="B455" s="481"/>
      <c r="C455" s="481"/>
      <c r="D455" s="481"/>
      <c r="E455" s="481"/>
      <c r="F455" s="481"/>
      <c r="G455" s="481"/>
      <c r="H455" s="481"/>
      <c r="I455" s="481"/>
      <c r="J455" s="482"/>
    </row>
    <row r="456" spans="1:10" x14ac:dyDescent="0.25">
      <c r="A456" s="480"/>
      <c r="B456" s="481"/>
      <c r="C456" s="481"/>
      <c r="D456" s="481"/>
      <c r="E456" s="481"/>
      <c r="F456" s="481"/>
      <c r="G456" s="481"/>
      <c r="H456" s="481"/>
      <c r="I456" s="481"/>
      <c r="J456" s="482"/>
    </row>
    <row r="457" spans="1:10" x14ac:dyDescent="0.25">
      <c r="A457" s="480"/>
      <c r="B457" s="481"/>
      <c r="C457" s="481"/>
      <c r="D457" s="481"/>
      <c r="E457" s="481"/>
      <c r="F457" s="481"/>
      <c r="G457" s="481"/>
      <c r="H457" s="481"/>
      <c r="I457" s="481"/>
      <c r="J457" s="482"/>
    </row>
    <row r="458" spans="1:10" x14ac:dyDescent="0.25">
      <c r="A458" s="480"/>
      <c r="B458" s="481"/>
      <c r="C458" s="481"/>
      <c r="D458" s="481"/>
      <c r="E458" s="481"/>
      <c r="F458" s="481"/>
      <c r="G458" s="481"/>
      <c r="H458" s="481"/>
      <c r="I458" s="481"/>
      <c r="J458" s="482"/>
    </row>
    <row r="459" spans="1:10" x14ac:dyDescent="0.25">
      <c r="A459" s="480"/>
      <c r="B459" s="481"/>
      <c r="C459" s="481"/>
      <c r="D459" s="481"/>
      <c r="E459" s="481"/>
      <c r="F459" s="481"/>
      <c r="G459" s="481"/>
      <c r="H459" s="481"/>
      <c r="I459" s="481"/>
      <c r="J459" s="482"/>
    </row>
    <row r="460" spans="1:10" x14ac:dyDescent="0.25">
      <c r="A460" s="483"/>
      <c r="B460" s="484"/>
      <c r="C460" s="484"/>
      <c r="D460" s="484"/>
      <c r="E460" s="484"/>
      <c r="F460" s="484"/>
      <c r="G460" s="484"/>
      <c r="H460" s="484"/>
      <c r="I460" s="484"/>
      <c r="J460" s="485"/>
    </row>
    <row r="462" spans="1:10" ht="15.6" x14ac:dyDescent="0.3">
      <c r="A462" s="351" t="s">
        <v>848</v>
      </c>
      <c r="B462" s="352"/>
      <c r="C462" s="352"/>
      <c r="D462" s="352"/>
      <c r="E462" s="352"/>
      <c r="F462" s="352"/>
      <c r="G462" s="352"/>
      <c r="H462" s="349" t="str">
        <f>'CONTACT INFORMATION'!$A$24</f>
        <v>Fresno</v>
      </c>
      <c r="I462" s="349"/>
      <c r="J462" s="350"/>
    </row>
    <row r="463" spans="1:10" ht="8.1" customHeight="1" x14ac:dyDescent="0.25">
      <c r="A463" s="163"/>
      <c r="B463" s="163"/>
      <c r="C463" s="163"/>
      <c r="D463" s="163"/>
      <c r="E463" s="163"/>
      <c r="F463" s="163"/>
      <c r="G463" s="163"/>
      <c r="H463" s="163"/>
      <c r="I463" s="163"/>
      <c r="J463" s="163"/>
    </row>
    <row r="464" spans="1:10" ht="13.8" x14ac:dyDescent="0.25">
      <c r="A464" s="458" t="s">
        <v>857</v>
      </c>
      <c r="B464" s="459"/>
      <c r="C464" s="459"/>
      <c r="D464" s="459"/>
      <c r="E464" s="459"/>
      <c r="F464" s="459"/>
      <c r="G464" s="459"/>
      <c r="H464" s="459"/>
      <c r="I464" s="459"/>
      <c r="J464" s="460"/>
    </row>
    <row r="465" spans="1:10" x14ac:dyDescent="0.25">
      <c r="A465" s="455" t="s">
        <v>854</v>
      </c>
      <c r="B465" s="456"/>
      <c r="C465" s="456"/>
      <c r="D465" s="457"/>
      <c r="E465" s="527" t="s">
        <v>932</v>
      </c>
      <c r="F465" s="528"/>
      <c r="G465" s="528"/>
      <c r="H465" s="528"/>
      <c r="I465" s="528"/>
      <c r="J465" s="529"/>
    </row>
    <row r="466" spans="1:10" x14ac:dyDescent="0.25">
      <c r="A466" s="495" t="s">
        <v>853</v>
      </c>
      <c r="B466" s="496"/>
      <c r="C466" s="496"/>
      <c r="D466" s="497"/>
      <c r="E466" s="530"/>
      <c r="F466" s="531"/>
      <c r="G466" s="531"/>
      <c r="H466" s="531"/>
      <c r="I466" s="531"/>
      <c r="J466" s="532"/>
    </row>
    <row r="467" spans="1:10" x14ac:dyDescent="0.25">
      <c r="A467" s="524" t="s">
        <v>808</v>
      </c>
      <c r="B467" s="525"/>
      <c r="C467" s="525"/>
      <c r="D467" s="526"/>
      <c r="E467" s="471" t="s">
        <v>495</v>
      </c>
      <c r="F467" s="472"/>
      <c r="G467" s="472"/>
      <c r="H467" s="472"/>
      <c r="I467" s="472"/>
      <c r="J467" s="473"/>
    </row>
    <row r="468" spans="1:10" ht="27" customHeight="1" x14ac:dyDescent="0.25">
      <c r="A468" s="157"/>
      <c r="B468" s="208"/>
      <c r="C468" s="208"/>
      <c r="D468" s="208"/>
      <c r="E468" s="474" t="s">
        <v>535</v>
      </c>
      <c r="F468" s="475"/>
      <c r="G468" s="474" t="s">
        <v>533</v>
      </c>
      <c r="H468" s="475"/>
      <c r="I468" s="476" t="s">
        <v>849</v>
      </c>
      <c r="J468" s="477"/>
    </row>
    <row r="469" spans="1:10" x14ac:dyDescent="0.25">
      <c r="A469" s="441" t="s">
        <v>527</v>
      </c>
      <c r="B469" s="442"/>
      <c r="C469" s="442"/>
      <c r="D469" s="443"/>
      <c r="E469" s="449"/>
      <c r="F469" s="449"/>
      <c r="G469" s="449"/>
      <c r="H469" s="449"/>
      <c r="I469" s="450"/>
      <c r="J469" s="450"/>
    </row>
    <row r="470" spans="1:10" x14ac:dyDescent="0.25">
      <c r="A470" s="445" t="s">
        <v>528</v>
      </c>
      <c r="B470" s="446"/>
      <c r="C470" s="446"/>
      <c r="D470" s="447"/>
      <c r="E470" s="432"/>
      <c r="F470" s="432"/>
      <c r="G470" s="433"/>
      <c r="H470" s="433"/>
      <c r="I470" s="448"/>
      <c r="J470" s="448"/>
    </row>
    <row r="471" spans="1:10" x14ac:dyDescent="0.25">
      <c r="A471" s="441" t="s">
        <v>529</v>
      </c>
      <c r="B471" s="442"/>
      <c r="C471" s="442"/>
      <c r="D471" s="443"/>
      <c r="E471" s="449"/>
      <c r="F471" s="449"/>
      <c r="G471" s="449"/>
      <c r="H471" s="449"/>
      <c r="I471" s="450"/>
      <c r="J471" s="450"/>
    </row>
    <row r="472" spans="1:10" x14ac:dyDescent="0.25">
      <c r="A472" s="445" t="s">
        <v>530</v>
      </c>
      <c r="B472" s="446"/>
      <c r="C472" s="446"/>
      <c r="D472" s="447"/>
      <c r="E472" s="432"/>
      <c r="F472" s="432"/>
      <c r="G472" s="433">
        <v>72174</v>
      </c>
      <c r="H472" s="433"/>
      <c r="I472" s="448"/>
      <c r="J472" s="448"/>
    </row>
    <row r="473" spans="1:10" x14ac:dyDescent="0.25">
      <c r="A473" s="441" t="s">
        <v>531</v>
      </c>
      <c r="B473" s="442"/>
      <c r="C473" s="442"/>
      <c r="D473" s="443"/>
      <c r="E473" s="449"/>
      <c r="F473" s="449"/>
      <c r="G473" s="449"/>
      <c r="H473" s="449"/>
      <c r="I473" s="450"/>
      <c r="J473" s="450"/>
    </row>
    <row r="474" spans="1:10" x14ac:dyDescent="0.25">
      <c r="A474" s="445" t="s">
        <v>532</v>
      </c>
      <c r="B474" s="446"/>
      <c r="C474" s="446"/>
      <c r="D474" s="447"/>
      <c r="E474" s="432"/>
      <c r="F474" s="432"/>
      <c r="G474" s="433"/>
      <c r="H474" s="433"/>
      <c r="I474" s="448"/>
      <c r="J474" s="448"/>
    </row>
    <row r="475" spans="1:10" x14ac:dyDescent="0.25">
      <c r="A475" s="441" t="s">
        <v>537</v>
      </c>
      <c r="B475" s="442"/>
      <c r="C475" s="442"/>
      <c r="D475" s="443"/>
      <c r="E475" s="444"/>
      <c r="F475" s="444"/>
      <c r="G475" s="444"/>
      <c r="H475" s="444"/>
      <c r="I475" s="438"/>
      <c r="J475" s="438"/>
    </row>
    <row r="476" spans="1:10" x14ac:dyDescent="0.25">
      <c r="A476" s="429"/>
      <c r="B476" s="430"/>
      <c r="C476" s="430"/>
      <c r="D476" s="431"/>
      <c r="E476" s="432"/>
      <c r="F476" s="432"/>
      <c r="G476" s="433"/>
      <c r="H476" s="433"/>
      <c r="I476" s="433"/>
      <c r="J476" s="433"/>
    </row>
    <row r="477" spans="1:10" x14ac:dyDescent="0.25">
      <c r="A477" s="429"/>
      <c r="B477" s="430"/>
      <c r="C477" s="430"/>
      <c r="D477" s="431"/>
      <c r="E477" s="432"/>
      <c r="F477" s="432"/>
      <c r="G477" s="433"/>
      <c r="H477" s="433"/>
      <c r="I477" s="433"/>
      <c r="J477" s="433"/>
    </row>
    <row r="478" spans="1:10" x14ac:dyDescent="0.25">
      <c r="A478" s="429"/>
      <c r="B478" s="430"/>
      <c r="C478" s="430"/>
      <c r="D478" s="431"/>
      <c r="E478" s="432"/>
      <c r="F478" s="432"/>
      <c r="G478" s="433"/>
      <c r="H478" s="433"/>
      <c r="I478" s="433"/>
      <c r="J478" s="433"/>
    </row>
    <row r="479" spans="1:10" x14ac:dyDescent="0.25">
      <c r="A479" s="434" t="s">
        <v>534</v>
      </c>
      <c r="B479" s="435"/>
      <c r="C479" s="435"/>
      <c r="D479" s="436"/>
      <c r="E479" s="437">
        <f>SUM(E469:E478)</f>
        <v>0</v>
      </c>
      <c r="F479" s="437"/>
      <c r="G479" s="437">
        <f>SUM(G469:G478)</f>
        <v>72174</v>
      </c>
      <c r="H479" s="437"/>
      <c r="I479" s="437">
        <f>SUM(I469:I478)</f>
        <v>0</v>
      </c>
      <c r="J479" s="437"/>
    </row>
    <row r="480" spans="1:10" x14ac:dyDescent="0.25">
      <c r="A480" s="486" t="s">
        <v>861</v>
      </c>
      <c r="B480" s="487"/>
      <c r="C480" s="487"/>
      <c r="D480" s="487"/>
      <c r="E480" s="487"/>
      <c r="F480" s="487"/>
      <c r="G480" s="487"/>
      <c r="H480" s="487"/>
      <c r="I480" s="487"/>
      <c r="J480" s="488"/>
    </row>
    <row r="481" spans="1:10" x14ac:dyDescent="0.25">
      <c r="A481" s="489" t="s">
        <v>862</v>
      </c>
      <c r="B481" s="490"/>
      <c r="C481" s="490"/>
      <c r="D481" s="490"/>
      <c r="E481" s="490"/>
      <c r="F481" s="490"/>
      <c r="G481" s="490"/>
      <c r="H481" s="490"/>
      <c r="I481" s="490"/>
      <c r="J481" s="491"/>
    </row>
    <row r="482" spans="1:10" x14ac:dyDescent="0.25">
      <c r="A482" s="489" t="s">
        <v>863</v>
      </c>
      <c r="B482" s="490"/>
      <c r="C482" s="490"/>
      <c r="D482" s="490"/>
      <c r="E482" s="490"/>
      <c r="F482" s="490"/>
      <c r="G482" s="490"/>
      <c r="H482" s="490"/>
      <c r="I482" s="490"/>
      <c r="J482" s="491"/>
    </row>
    <row r="483" spans="1:10" x14ac:dyDescent="0.25">
      <c r="A483" s="492" t="s">
        <v>864</v>
      </c>
      <c r="B483" s="493"/>
      <c r="C483" s="493"/>
      <c r="D483" s="493"/>
      <c r="E483" s="493"/>
      <c r="F483" s="493"/>
      <c r="G483" s="493"/>
      <c r="H483" s="493"/>
      <c r="I483" s="493"/>
      <c r="J483" s="494"/>
    </row>
    <row r="484" spans="1:10" x14ac:dyDescent="0.25">
      <c r="A484" s="300" t="s">
        <v>944</v>
      </c>
      <c r="B484" s="478"/>
      <c r="C484" s="478"/>
      <c r="D484" s="478"/>
      <c r="E484" s="478"/>
      <c r="F484" s="478"/>
      <c r="G484" s="478"/>
      <c r="H484" s="478"/>
      <c r="I484" s="478"/>
      <c r="J484" s="479"/>
    </row>
    <row r="485" spans="1:10" x14ac:dyDescent="0.25">
      <c r="A485" s="480"/>
      <c r="B485" s="481"/>
      <c r="C485" s="481"/>
      <c r="D485" s="481"/>
      <c r="E485" s="481"/>
      <c r="F485" s="481"/>
      <c r="G485" s="481"/>
      <c r="H485" s="481"/>
      <c r="I485" s="481"/>
      <c r="J485" s="482"/>
    </row>
    <row r="486" spans="1:10" x14ac:dyDescent="0.25">
      <c r="A486" s="480"/>
      <c r="B486" s="481"/>
      <c r="C486" s="481"/>
      <c r="D486" s="481"/>
      <c r="E486" s="481"/>
      <c r="F486" s="481"/>
      <c r="G486" s="481"/>
      <c r="H486" s="481"/>
      <c r="I486" s="481"/>
      <c r="J486" s="482"/>
    </row>
    <row r="487" spans="1:10" x14ac:dyDescent="0.25">
      <c r="A487" s="480"/>
      <c r="B487" s="481"/>
      <c r="C487" s="481"/>
      <c r="D487" s="481"/>
      <c r="E487" s="481"/>
      <c r="F487" s="481"/>
      <c r="G487" s="481"/>
      <c r="H487" s="481"/>
      <c r="I487" s="481"/>
      <c r="J487" s="482"/>
    </row>
    <row r="488" spans="1:10" x14ac:dyDescent="0.25">
      <c r="A488" s="480"/>
      <c r="B488" s="481"/>
      <c r="C488" s="481"/>
      <c r="D488" s="481"/>
      <c r="E488" s="481"/>
      <c r="F488" s="481"/>
      <c r="G488" s="481"/>
      <c r="H488" s="481"/>
      <c r="I488" s="481"/>
      <c r="J488" s="482"/>
    </row>
    <row r="489" spans="1:10" x14ac:dyDescent="0.25">
      <c r="A489" s="480"/>
      <c r="B489" s="481"/>
      <c r="C489" s="481"/>
      <c r="D489" s="481"/>
      <c r="E489" s="481"/>
      <c r="F489" s="481"/>
      <c r="G489" s="481"/>
      <c r="H489" s="481"/>
      <c r="I489" s="481"/>
      <c r="J489" s="482"/>
    </row>
    <row r="490" spans="1:10" x14ac:dyDescent="0.25">
      <c r="A490" s="480"/>
      <c r="B490" s="481"/>
      <c r="C490" s="481"/>
      <c r="D490" s="481"/>
      <c r="E490" s="481"/>
      <c r="F490" s="481"/>
      <c r="G490" s="481"/>
      <c r="H490" s="481"/>
      <c r="I490" s="481"/>
      <c r="J490" s="482"/>
    </row>
    <row r="491" spans="1:10" x14ac:dyDescent="0.25">
      <c r="A491" s="480"/>
      <c r="B491" s="481"/>
      <c r="C491" s="481"/>
      <c r="D491" s="481"/>
      <c r="E491" s="481"/>
      <c r="F491" s="481"/>
      <c r="G491" s="481"/>
      <c r="H491" s="481"/>
      <c r="I491" s="481"/>
      <c r="J491" s="482"/>
    </row>
    <row r="492" spans="1:10" x14ac:dyDescent="0.25">
      <c r="A492" s="480"/>
      <c r="B492" s="481"/>
      <c r="C492" s="481"/>
      <c r="D492" s="481"/>
      <c r="E492" s="481"/>
      <c r="F492" s="481"/>
      <c r="G492" s="481"/>
      <c r="H492" s="481"/>
      <c r="I492" s="481"/>
      <c r="J492" s="482"/>
    </row>
    <row r="493" spans="1:10" x14ac:dyDescent="0.25">
      <c r="A493" s="480"/>
      <c r="B493" s="481"/>
      <c r="C493" s="481"/>
      <c r="D493" s="481"/>
      <c r="E493" s="481"/>
      <c r="F493" s="481"/>
      <c r="G493" s="481"/>
      <c r="H493" s="481"/>
      <c r="I493" s="481"/>
      <c r="J493" s="482"/>
    </row>
    <row r="494" spans="1:10" x14ac:dyDescent="0.25">
      <c r="A494" s="480"/>
      <c r="B494" s="481"/>
      <c r="C494" s="481"/>
      <c r="D494" s="481"/>
      <c r="E494" s="481"/>
      <c r="F494" s="481"/>
      <c r="G494" s="481"/>
      <c r="H494" s="481"/>
      <c r="I494" s="481"/>
      <c r="J494" s="482"/>
    </row>
    <row r="495" spans="1:10" x14ac:dyDescent="0.25">
      <c r="A495" s="480"/>
      <c r="B495" s="481"/>
      <c r="C495" s="481"/>
      <c r="D495" s="481"/>
      <c r="E495" s="481"/>
      <c r="F495" s="481"/>
      <c r="G495" s="481"/>
      <c r="H495" s="481"/>
      <c r="I495" s="481"/>
      <c r="J495" s="482"/>
    </row>
    <row r="496" spans="1:10" x14ac:dyDescent="0.25">
      <c r="A496" s="480"/>
      <c r="B496" s="481"/>
      <c r="C496" s="481"/>
      <c r="D496" s="481"/>
      <c r="E496" s="481"/>
      <c r="F496" s="481"/>
      <c r="G496" s="481"/>
      <c r="H496" s="481"/>
      <c r="I496" s="481"/>
      <c r="J496" s="482"/>
    </row>
    <row r="497" spans="1:10" x14ac:dyDescent="0.25">
      <c r="A497" s="480"/>
      <c r="B497" s="481"/>
      <c r="C497" s="481"/>
      <c r="D497" s="481"/>
      <c r="E497" s="481"/>
      <c r="F497" s="481"/>
      <c r="G497" s="481"/>
      <c r="H497" s="481"/>
      <c r="I497" s="481"/>
      <c r="J497" s="482"/>
    </row>
    <row r="498" spans="1:10" x14ac:dyDescent="0.25">
      <c r="A498" s="480"/>
      <c r="B498" s="481"/>
      <c r="C498" s="481"/>
      <c r="D498" s="481"/>
      <c r="E498" s="481"/>
      <c r="F498" s="481"/>
      <c r="G498" s="481"/>
      <c r="H498" s="481"/>
      <c r="I498" s="481"/>
      <c r="J498" s="482"/>
    </row>
    <row r="499" spans="1:10" x14ac:dyDescent="0.25">
      <c r="A499" s="480"/>
      <c r="B499" s="481"/>
      <c r="C499" s="481"/>
      <c r="D499" s="481"/>
      <c r="E499" s="481"/>
      <c r="F499" s="481"/>
      <c r="G499" s="481"/>
      <c r="H499" s="481"/>
      <c r="I499" s="481"/>
      <c r="J499" s="482"/>
    </row>
    <row r="500" spans="1:10" x14ac:dyDescent="0.25">
      <c r="A500" s="480"/>
      <c r="B500" s="481"/>
      <c r="C500" s="481"/>
      <c r="D500" s="481"/>
      <c r="E500" s="481"/>
      <c r="F500" s="481"/>
      <c r="G500" s="481"/>
      <c r="H500" s="481"/>
      <c r="I500" s="481"/>
      <c r="J500" s="482"/>
    </row>
    <row r="501" spans="1:10" x14ac:dyDescent="0.25">
      <c r="A501" s="480"/>
      <c r="B501" s="481"/>
      <c r="C501" s="481"/>
      <c r="D501" s="481"/>
      <c r="E501" s="481"/>
      <c r="F501" s="481"/>
      <c r="G501" s="481"/>
      <c r="H501" s="481"/>
      <c r="I501" s="481"/>
      <c r="J501" s="482"/>
    </row>
    <row r="502" spans="1:10" x14ac:dyDescent="0.25">
      <c r="A502" s="480"/>
      <c r="B502" s="481"/>
      <c r="C502" s="481"/>
      <c r="D502" s="481"/>
      <c r="E502" s="481"/>
      <c r="F502" s="481"/>
      <c r="G502" s="481"/>
      <c r="H502" s="481"/>
      <c r="I502" s="481"/>
      <c r="J502" s="482"/>
    </row>
    <row r="503" spans="1:10" x14ac:dyDescent="0.25">
      <c r="A503" s="480"/>
      <c r="B503" s="481"/>
      <c r="C503" s="481"/>
      <c r="D503" s="481"/>
      <c r="E503" s="481"/>
      <c r="F503" s="481"/>
      <c r="G503" s="481"/>
      <c r="H503" s="481"/>
      <c r="I503" s="481"/>
      <c r="J503" s="482"/>
    </row>
    <row r="504" spans="1:10" x14ac:dyDescent="0.25">
      <c r="A504" s="480"/>
      <c r="B504" s="481"/>
      <c r="C504" s="481"/>
      <c r="D504" s="481"/>
      <c r="E504" s="481"/>
      <c r="F504" s="481"/>
      <c r="G504" s="481"/>
      <c r="H504" s="481"/>
      <c r="I504" s="481"/>
      <c r="J504" s="482"/>
    </row>
    <row r="505" spans="1:10" x14ac:dyDescent="0.25">
      <c r="A505" s="480"/>
      <c r="B505" s="481"/>
      <c r="C505" s="481"/>
      <c r="D505" s="481"/>
      <c r="E505" s="481"/>
      <c r="F505" s="481"/>
      <c r="G505" s="481"/>
      <c r="H505" s="481"/>
      <c r="I505" s="481"/>
      <c r="J505" s="482"/>
    </row>
    <row r="506" spans="1:10" x14ac:dyDescent="0.25">
      <c r="A506" s="480"/>
      <c r="B506" s="481"/>
      <c r="C506" s="481"/>
      <c r="D506" s="481"/>
      <c r="E506" s="481"/>
      <c r="F506" s="481"/>
      <c r="G506" s="481"/>
      <c r="H506" s="481"/>
      <c r="I506" s="481"/>
      <c r="J506" s="482"/>
    </row>
    <row r="507" spans="1:10" x14ac:dyDescent="0.25">
      <c r="A507" s="480"/>
      <c r="B507" s="481"/>
      <c r="C507" s="481"/>
      <c r="D507" s="481"/>
      <c r="E507" s="481"/>
      <c r="F507" s="481"/>
      <c r="G507" s="481"/>
      <c r="H507" s="481"/>
      <c r="I507" s="481"/>
      <c r="J507" s="482"/>
    </row>
    <row r="508" spans="1:10" x14ac:dyDescent="0.25">
      <c r="A508" s="480"/>
      <c r="B508" s="481"/>
      <c r="C508" s="481"/>
      <c r="D508" s="481"/>
      <c r="E508" s="481"/>
      <c r="F508" s="481"/>
      <c r="G508" s="481"/>
      <c r="H508" s="481"/>
      <c r="I508" s="481"/>
      <c r="J508" s="482"/>
    </row>
    <row r="509" spans="1:10" x14ac:dyDescent="0.25">
      <c r="A509" s="480"/>
      <c r="B509" s="481"/>
      <c r="C509" s="481"/>
      <c r="D509" s="481"/>
      <c r="E509" s="481"/>
      <c r="F509" s="481"/>
      <c r="G509" s="481"/>
      <c r="H509" s="481"/>
      <c r="I509" s="481"/>
      <c r="J509" s="482"/>
    </row>
    <row r="510" spans="1:10" x14ac:dyDescent="0.25">
      <c r="A510" s="480"/>
      <c r="B510" s="481"/>
      <c r="C510" s="481"/>
      <c r="D510" s="481"/>
      <c r="E510" s="481"/>
      <c r="F510" s="481"/>
      <c r="G510" s="481"/>
      <c r="H510" s="481"/>
      <c r="I510" s="481"/>
      <c r="J510" s="482"/>
    </row>
    <row r="511" spans="1:10" x14ac:dyDescent="0.25">
      <c r="A511" s="480"/>
      <c r="B511" s="481"/>
      <c r="C511" s="481"/>
      <c r="D511" s="481"/>
      <c r="E511" s="481"/>
      <c r="F511" s="481"/>
      <c r="G511" s="481"/>
      <c r="H511" s="481"/>
      <c r="I511" s="481"/>
      <c r="J511" s="482"/>
    </row>
    <row r="512" spans="1:10" x14ac:dyDescent="0.25">
      <c r="A512" s="480"/>
      <c r="B512" s="481"/>
      <c r="C512" s="481"/>
      <c r="D512" s="481"/>
      <c r="E512" s="481"/>
      <c r="F512" s="481"/>
      <c r="G512" s="481"/>
      <c r="H512" s="481"/>
      <c r="I512" s="481"/>
      <c r="J512" s="482"/>
    </row>
    <row r="513" spans="1:10" x14ac:dyDescent="0.25">
      <c r="A513" s="480"/>
      <c r="B513" s="481"/>
      <c r="C513" s="481"/>
      <c r="D513" s="481"/>
      <c r="E513" s="481"/>
      <c r="F513" s="481"/>
      <c r="G513" s="481"/>
      <c r="H513" s="481"/>
      <c r="I513" s="481"/>
      <c r="J513" s="482"/>
    </row>
    <row r="514" spans="1:10" x14ac:dyDescent="0.25">
      <c r="A514" s="480"/>
      <c r="B514" s="481"/>
      <c r="C514" s="481"/>
      <c r="D514" s="481"/>
      <c r="E514" s="481"/>
      <c r="F514" s="481"/>
      <c r="G514" s="481"/>
      <c r="H514" s="481"/>
      <c r="I514" s="481"/>
      <c r="J514" s="482"/>
    </row>
    <row r="515" spans="1:10" x14ac:dyDescent="0.25">
      <c r="A515" s="480"/>
      <c r="B515" s="481"/>
      <c r="C515" s="481"/>
      <c r="D515" s="481"/>
      <c r="E515" s="481"/>
      <c r="F515" s="481"/>
      <c r="G515" s="481"/>
      <c r="H515" s="481"/>
      <c r="I515" s="481"/>
      <c r="J515" s="482"/>
    </row>
    <row r="516" spans="1:10" x14ac:dyDescent="0.25">
      <c r="A516" s="480"/>
      <c r="B516" s="481"/>
      <c r="C516" s="481"/>
      <c r="D516" s="481"/>
      <c r="E516" s="481"/>
      <c r="F516" s="481"/>
      <c r="G516" s="481"/>
      <c r="H516" s="481"/>
      <c r="I516" s="481"/>
      <c r="J516" s="482"/>
    </row>
    <row r="517" spans="1:10" x14ac:dyDescent="0.25">
      <c r="A517" s="480"/>
      <c r="B517" s="481"/>
      <c r="C517" s="481"/>
      <c r="D517" s="481"/>
      <c r="E517" s="481"/>
      <c r="F517" s="481"/>
      <c r="G517" s="481"/>
      <c r="H517" s="481"/>
      <c r="I517" s="481"/>
      <c r="J517" s="482"/>
    </row>
    <row r="518" spans="1:10" x14ac:dyDescent="0.25">
      <c r="A518" s="483"/>
      <c r="B518" s="484"/>
      <c r="C518" s="484"/>
      <c r="D518" s="484"/>
      <c r="E518" s="484"/>
      <c r="F518" s="484"/>
      <c r="G518" s="484"/>
      <c r="H518" s="484"/>
      <c r="I518" s="484"/>
      <c r="J518" s="485"/>
    </row>
    <row r="520" spans="1:10" ht="15.6" x14ac:dyDescent="0.3">
      <c r="A520" s="351" t="s">
        <v>848</v>
      </c>
      <c r="B520" s="352"/>
      <c r="C520" s="352"/>
      <c r="D520" s="352"/>
      <c r="E520" s="352"/>
      <c r="F520" s="352"/>
      <c r="G520" s="352"/>
      <c r="H520" s="349" t="str">
        <f>'CONTACT INFORMATION'!$A$24</f>
        <v>Fresno</v>
      </c>
      <c r="I520" s="349"/>
      <c r="J520" s="350"/>
    </row>
    <row r="521" spans="1:10" ht="8.1" customHeight="1" x14ac:dyDescent="0.25">
      <c r="A521" s="163"/>
      <c r="B521" s="163"/>
      <c r="C521" s="163"/>
      <c r="D521" s="163"/>
      <c r="E521" s="163"/>
      <c r="F521" s="163"/>
      <c r="G521" s="163"/>
      <c r="H521" s="163"/>
      <c r="I521" s="163"/>
      <c r="J521" s="163"/>
    </row>
    <row r="522" spans="1:10" ht="13.8" x14ac:dyDescent="0.25">
      <c r="A522" s="458" t="s">
        <v>858</v>
      </c>
      <c r="B522" s="459"/>
      <c r="C522" s="459"/>
      <c r="D522" s="459"/>
      <c r="E522" s="459"/>
      <c r="F522" s="459"/>
      <c r="G522" s="459"/>
      <c r="H522" s="459"/>
      <c r="I522" s="459"/>
      <c r="J522" s="460"/>
    </row>
    <row r="523" spans="1:10" ht="12.75" customHeight="1" x14ac:dyDescent="0.25">
      <c r="A523" s="455" t="s">
        <v>854</v>
      </c>
      <c r="B523" s="456"/>
      <c r="C523" s="456"/>
      <c r="D523" s="457"/>
      <c r="E523" s="527" t="s">
        <v>933</v>
      </c>
      <c r="F523" s="528"/>
      <c r="G523" s="528"/>
      <c r="H523" s="528"/>
      <c r="I523" s="528"/>
      <c r="J523" s="529"/>
    </row>
    <row r="524" spans="1:10" ht="12.75" customHeight="1" x14ac:dyDescent="0.25">
      <c r="A524" s="495" t="s">
        <v>853</v>
      </c>
      <c r="B524" s="496"/>
      <c r="C524" s="496"/>
      <c r="D524" s="497"/>
      <c r="E524" s="530"/>
      <c r="F524" s="531"/>
      <c r="G524" s="531"/>
      <c r="H524" s="531"/>
      <c r="I524" s="531"/>
      <c r="J524" s="532"/>
    </row>
    <row r="525" spans="1:10" x14ac:dyDescent="0.25">
      <c r="A525" s="524" t="s">
        <v>808</v>
      </c>
      <c r="B525" s="525"/>
      <c r="C525" s="525"/>
      <c r="D525" s="526"/>
      <c r="E525" s="471" t="s">
        <v>517</v>
      </c>
      <c r="F525" s="472"/>
      <c r="G525" s="472"/>
      <c r="H525" s="472"/>
      <c r="I525" s="472"/>
      <c r="J525" s="473"/>
    </row>
    <row r="526" spans="1:10" ht="27" customHeight="1" x14ac:dyDescent="0.25">
      <c r="A526" s="157"/>
      <c r="B526" s="208"/>
      <c r="C526" s="208"/>
      <c r="D526" s="208"/>
      <c r="E526" s="474" t="s">
        <v>535</v>
      </c>
      <c r="F526" s="475"/>
      <c r="G526" s="474" t="s">
        <v>533</v>
      </c>
      <c r="H526" s="475"/>
      <c r="I526" s="476" t="s">
        <v>849</v>
      </c>
      <c r="J526" s="477"/>
    </row>
    <row r="527" spans="1:10" x14ac:dyDescent="0.25">
      <c r="A527" s="441" t="s">
        <v>527</v>
      </c>
      <c r="B527" s="442"/>
      <c r="C527" s="442"/>
      <c r="D527" s="443"/>
      <c r="E527" s="449">
        <v>1762424</v>
      </c>
      <c r="F527" s="449"/>
      <c r="G527" s="449"/>
      <c r="H527" s="449"/>
      <c r="I527" s="450"/>
      <c r="J527" s="450"/>
    </row>
    <row r="528" spans="1:10" x14ac:dyDescent="0.25">
      <c r="A528" s="445" t="s">
        <v>528</v>
      </c>
      <c r="B528" s="446"/>
      <c r="C528" s="446"/>
      <c r="D528" s="447"/>
      <c r="E528" s="432">
        <v>62710</v>
      </c>
      <c r="F528" s="432"/>
      <c r="G528" s="433"/>
      <c r="H528" s="433"/>
      <c r="I528" s="448"/>
      <c r="J528" s="448"/>
    </row>
    <row r="529" spans="1:10" x14ac:dyDescent="0.25">
      <c r="A529" s="441" t="s">
        <v>529</v>
      </c>
      <c r="B529" s="442"/>
      <c r="C529" s="442"/>
      <c r="D529" s="443"/>
      <c r="E529" s="449"/>
      <c r="F529" s="449"/>
      <c r="G529" s="449"/>
      <c r="H529" s="449"/>
      <c r="I529" s="450"/>
      <c r="J529" s="450"/>
    </row>
    <row r="530" spans="1:10" x14ac:dyDescent="0.25">
      <c r="A530" s="445" t="s">
        <v>530</v>
      </c>
      <c r="B530" s="446"/>
      <c r="C530" s="446"/>
      <c r="D530" s="447"/>
      <c r="E530" s="432"/>
      <c r="F530" s="432"/>
      <c r="G530" s="433"/>
      <c r="H530" s="433"/>
      <c r="I530" s="448"/>
      <c r="J530" s="448"/>
    </row>
    <row r="531" spans="1:10" x14ac:dyDescent="0.25">
      <c r="A531" s="441" t="s">
        <v>531</v>
      </c>
      <c r="B531" s="442"/>
      <c r="C531" s="442"/>
      <c r="D531" s="443"/>
      <c r="E531" s="449"/>
      <c r="F531" s="449"/>
      <c r="G531" s="449"/>
      <c r="H531" s="449"/>
      <c r="I531" s="450"/>
      <c r="J531" s="450"/>
    </row>
    <row r="532" spans="1:10" x14ac:dyDescent="0.25">
      <c r="A532" s="445" t="s">
        <v>532</v>
      </c>
      <c r="B532" s="446"/>
      <c r="C532" s="446"/>
      <c r="D532" s="447"/>
      <c r="E532" s="432">
        <v>9126</v>
      </c>
      <c r="F532" s="432"/>
      <c r="G532" s="433"/>
      <c r="H532" s="433"/>
      <c r="I532" s="448"/>
      <c r="J532" s="448"/>
    </row>
    <row r="533" spans="1:10" x14ac:dyDescent="0.25">
      <c r="A533" s="441" t="s">
        <v>537</v>
      </c>
      <c r="B533" s="442"/>
      <c r="C533" s="442"/>
      <c r="D533" s="443"/>
      <c r="E533" s="444"/>
      <c r="F533" s="444"/>
      <c r="G533" s="444"/>
      <c r="H533" s="444"/>
      <c r="I533" s="438"/>
      <c r="J533" s="438"/>
    </row>
    <row r="534" spans="1:10" x14ac:dyDescent="0.25">
      <c r="A534" s="429"/>
      <c r="B534" s="430"/>
      <c r="C534" s="430"/>
      <c r="D534" s="431"/>
      <c r="E534" s="432"/>
      <c r="F534" s="432"/>
      <c r="G534" s="433"/>
      <c r="H534" s="433"/>
      <c r="I534" s="433"/>
      <c r="J534" s="433"/>
    </row>
    <row r="535" spans="1:10" x14ac:dyDescent="0.25">
      <c r="A535" s="429"/>
      <c r="B535" s="430"/>
      <c r="C535" s="430"/>
      <c r="D535" s="431"/>
      <c r="E535" s="432"/>
      <c r="F535" s="432"/>
      <c r="G535" s="433"/>
      <c r="H535" s="433"/>
      <c r="I535" s="433"/>
      <c r="J535" s="433"/>
    </row>
    <row r="536" spans="1:10" x14ac:dyDescent="0.25">
      <c r="A536" s="429"/>
      <c r="B536" s="430"/>
      <c r="C536" s="430"/>
      <c r="D536" s="431"/>
      <c r="E536" s="432"/>
      <c r="F536" s="432"/>
      <c r="G536" s="433"/>
      <c r="H536" s="433"/>
      <c r="I536" s="433"/>
      <c r="J536" s="433"/>
    </row>
    <row r="537" spans="1:10" x14ac:dyDescent="0.25">
      <c r="A537" s="434" t="s">
        <v>534</v>
      </c>
      <c r="B537" s="435"/>
      <c r="C537" s="435"/>
      <c r="D537" s="436"/>
      <c r="E537" s="437">
        <f>SUM(E527:E536)</f>
        <v>1834260</v>
      </c>
      <c r="F537" s="437"/>
      <c r="G537" s="437">
        <f>SUM(G527:G536)</f>
        <v>0</v>
      </c>
      <c r="H537" s="437"/>
      <c r="I537" s="437">
        <f>SUM(I527:I536)</f>
        <v>0</v>
      </c>
      <c r="J537" s="437"/>
    </row>
    <row r="538" spans="1:10" ht="12.75" customHeight="1" x14ac:dyDescent="0.25">
      <c r="A538" s="486" t="s">
        <v>861</v>
      </c>
      <c r="B538" s="487"/>
      <c r="C538" s="487"/>
      <c r="D538" s="487"/>
      <c r="E538" s="487"/>
      <c r="F538" s="487"/>
      <c r="G538" s="487"/>
      <c r="H538" s="487"/>
      <c r="I538" s="487"/>
      <c r="J538" s="488"/>
    </row>
    <row r="539" spans="1:10" ht="12.75" customHeight="1" x14ac:dyDescent="0.25">
      <c r="A539" s="489" t="s">
        <v>862</v>
      </c>
      <c r="B539" s="490"/>
      <c r="C539" s="490"/>
      <c r="D539" s="490"/>
      <c r="E539" s="490"/>
      <c r="F539" s="490"/>
      <c r="G539" s="490"/>
      <c r="H539" s="490"/>
      <c r="I539" s="490"/>
      <c r="J539" s="491"/>
    </row>
    <row r="540" spans="1:10" ht="12.75" customHeight="1" x14ac:dyDescent="0.25">
      <c r="A540" s="489" t="s">
        <v>863</v>
      </c>
      <c r="B540" s="490"/>
      <c r="C540" s="490"/>
      <c r="D540" s="490"/>
      <c r="E540" s="490"/>
      <c r="F540" s="490"/>
      <c r="G540" s="490"/>
      <c r="H540" s="490"/>
      <c r="I540" s="490"/>
      <c r="J540" s="491"/>
    </row>
    <row r="541" spans="1:10" ht="12.75" customHeight="1" x14ac:dyDescent="0.25">
      <c r="A541" s="492" t="s">
        <v>864</v>
      </c>
      <c r="B541" s="493"/>
      <c r="C541" s="493"/>
      <c r="D541" s="493"/>
      <c r="E541" s="493"/>
      <c r="F541" s="493"/>
      <c r="G541" s="493"/>
      <c r="H541" s="493"/>
      <c r="I541" s="493"/>
      <c r="J541" s="494"/>
    </row>
    <row r="542" spans="1:10" x14ac:dyDescent="0.25">
      <c r="A542" s="300" t="s">
        <v>949</v>
      </c>
      <c r="B542" s="478"/>
      <c r="C542" s="478"/>
      <c r="D542" s="478"/>
      <c r="E542" s="478"/>
      <c r="F542" s="478"/>
      <c r="G542" s="478"/>
      <c r="H542" s="478"/>
      <c r="I542" s="478"/>
      <c r="J542" s="479"/>
    </row>
    <row r="543" spans="1:10" x14ac:dyDescent="0.25">
      <c r="A543" s="480"/>
      <c r="B543" s="481"/>
      <c r="C543" s="481"/>
      <c r="D543" s="481"/>
      <c r="E543" s="481"/>
      <c r="F543" s="481"/>
      <c r="G543" s="481"/>
      <c r="H543" s="481"/>
      <c r="I543" s="481"/>
      <c r="J543" s="482"/>
    </row>
    <row r="544" spans="1:10" x14ac:dyDescent="0.25">
      <c r="A544" s="480"/>
      <c r="B544" s="481"/>
      <c r="C544" s="481"/>
      <c r="D544" s="481"/>
      <c r="E544" s="481"/>
      <c r="F544" s="481"/>
      <c r="G544" s="481"/>
      <c r="H544" s="481"/>
      <c r="I544" s="481"/>
      <c r="J544" s="482"/>
    </row>
    <row r="545" spans="1:10" x14ac:dyDescent="0.25">
      <c r="A545" s="480"/>
      <c r="B545" s="481"/>
      <c r="C545" s="481"/>
      <c r="D545" s="481"/>
      <c r="E545" s="481"/>
      <c r="F545" s="481"/>
      <c r="G545" s="481"/>
      <c r="H545" s="481"/>
      <c r="I545" s="481"/>
      <c r="J545" s="482"/>
    </row>
    <row r="546" spans="1:10" x14ac:dyDescent="0.25">
      <c r="A546" s="480"/>
      <c r="B546" s="481"/>
      <c r="C546" s="481"/>
      <c r="D546" s="481"/>
      <c r="E546" s="481"/>
      <c r="F546" s="481"/>
      <c r="G546" s="481"/>
      <c r="H546" s="481"/>
      <c r="I546" s="481"/>
      <c r="J546" s="482"/>
    </row>
    <row r="547" spans="1:10" x14ac:dyDescent="0.25">
      <c r="A547" s="480"/>
      <c r="B547" s="481"/>
      <c r="C547" s="481"/>
      <c r="D547" s="481"/>
      <c r="E547" s="481"/>
      <c r="F547" s="481"/>
      <c r="G547" s="481"/>
      <c r="H547" s="481"/>
      <c r="I547" s="481"/>
      <c r="J547" s="482"/>
    </row>
    <row r="548" spans="1:10" x14ac:dyDescent="0.25">
      <c r="A548" s="480"/>
      <c r="B548" s="481"/>
      <c r="C548" s="481"/>
      <c r="D548" s="481"/>
      <c r="E548" s="481"/>
      <c r="F548" s="481"/>
      <c r="G548" s="481"/>
      <c r="H548" s="481"/>
      <c r="I548" s="481"/>
      <c r="J548" s="482"/>
    </row>
    <row r="549" spans="1:10" x14ac:dyDescent="0.25">
      <c r="A549" s="480"/>
      <c r="B549" s="481"/>
      <c r="C549" s="481"/>
      <c r="D549" s="481"/>
      <c r="E549" s="481"/>
      <c r="F549" s="481"/>
      <c r="G549" s="481"/>
      <c r="H549" s="481"/>
      <c r="I549" s="481"/>
      <c r="J549" s="482"/>
    </row>
    <row r="550" spans="1:10" x14ac:dyDescent="0.25">
      <c r="A550" s="480"/>
      <c r="B550" s="481"/>
      <c r="C550" s="481"/>
      <c r="D550" s="481"/>
      <c r="E550" s="481"/>
      <c r="F550" s="481"/>
      <c r="G550" s="481"/>
      <c r="H550" s="481"/>
      <c r="I550" s="481"/>
      <c r="J550" s="482"/>
    </row>
    <row r="551" spans="1:10" x14ac:dyDescent="0.25">
      <c r="A551" s="480"/>
      <c r="B551" s="481"/>
      <c r="C551" s="481"/>
      <c r="D551" s="481"/>
      <c r="E551" s="481"/>
      <c r="F551" s="481"/>
      <c r="G551" s="481"/>
      <c r="H551" s="481"/>
      <c r="I551" s="481"/>
      <c r="J551" s="482"/>
    </row>
    <row r="552" spans="1:10" x14ac:dyDescent="0.25">
      <c r="A552" s="480"/>
      <c r="B552" s="481"/>
      <c r="C552" s="481"/>
      <c r="D552" s="481"/>
      <c r="E552" s="481"/>
      <c r="F552" s="481"/>
      <c r="G552" s="481"/>
      <c r="H552" s="481"/>
      <c r="I552" s="481"/>
      <c r="J552" s="482"/>
    </row>
    <row r="553" spans="1:10" x14ac:dyDescent="0.25">
      <c r="A553" s="480"/>
      <c r="B553" s="481"/>
      <c r="C553" s="481"/>
      <c r="D553" s="481"/>
      <c r="E553" s="481"/>
      <c r="F553" s="481"/>
      <c r="G553" s="481"/>
      <c r="H553" s="481"/>
      <c r="I553" s="481"/>
      <c r="J553" s="482"/>
    </row>
    <row r="554" spans="1:10" x14ac:dyDescent="0.25">
      <c r="A554" s="480"/>
      <c r="B554" s="481"/>
      <c r="C554" s="481"/>
      <c r="D554" s="481"/>
      <c r="E554" s="481"/>
      <c r="F554" s="481"/>
      <c r="G554" s="481"/>
      <c r="H554" s="481"/>
      <c r="I554" s="481"/>
      <c r="J554" s="482"/>
    </row>
    <row r="555" spans="1:10" x14ac:dyDescent="0.25">
      <c r="A555" s="480"/>
      <c r="B555" s="481"/>
      <c r="C555" s="481"/>
      <c r="D555" s="481"/>
      <c r="E555" s="481"/>
      <c r="F555" s="481"/>
      <c r="G555" s="481"/>
      <c r="H555" s="481"/>
      <c r="I555" s="481"/>
      <c r="J555" s="482"/>
    </row>
    <row r="556" spans="1:10" x14ac:dyDescent="0.25">
      <c r="A556" s="480"/>
      <c r="B556" s="481"/>
      <c r="C556" s="481"/>
      <c r="D556" s="481"/>
      <c r="E556" s="481"/>
      <c r="F556" s="481"/>
      <c r="G556" s="481"/>
      <c r="H556" s="481"/>
      <c r="I556" s="481"/>
      <c r="J556" s="482"/>
    </row>
    <row r="557" spans="1:10" x14ac:dyDescent="0.25">
      <c r="A557" s="480"/>
      <c r="B557" s="481"/>
      <c r="C557" s="481"/>
      <c r="D557" s="481"/>
      <c r="E557" s="481"/>
      <c r="F557" s="481"/>
      <c r="G557" s="481"/>
      <c r="H557" s="481"/>
      <c r="I557" s="481"/>
      <c r="J557" s="482"/>
    </row>
    <row r="558" spans="1:10" x14ac:dyDescent="0.25">
      <c r="A558" s="480"/>
      <c r="B558" s="481"/>
      <c r="C558" s="481"/>
      <c r="D558" s="481"/>
      <c r="E558" s="481"/>
      <c r="F558" s="481"/>
      <c r="G558" s="481"/>
      <c r="H558" s="481"/>
      <c r="I558" s="481"/>
      <c r="J558" s="482"/>
    </row>
    <row r="559" spans="1:10" x14ac:dyDescent="0.25">
      <c r="A559" s="480"/>
      <c r="B559" s="481"/>
      <c r="C559" s="481"/>
      <c r="D559" s="481"/>
      <c r="E559" s="481"/>
      <c r="F559" s="481"/>
      <c r="G559" s="481"/>
      <c r="H559" s="481"/>
      <c r="I559" s="481"/>
      <c r="J559" s="482"/>
    </row>
    <row r="560" spans="1:10" x14ac:dyDescent="0.25">
      <c r="A560" s="480"/>
      <c r="B560" s="481"/>
      <c r="C560" s="481"/>
      <c r="D560" s="481"/>
      <c r="E560" s="481"/>
      <c r="F560" s="481"/>
      <c r="G560" s="481"/>
      <c r="H560" s="481"/>
      <c r="I560" s="481"/>
      <c r="J560" s="482"/>
    </row>
    <row r="561" spans="1:10" x14ac:dyDescent="0.25">
      <c r="A561" s="480"/>
      <c r="B561" s="481"/>
      <c r="C561" s="481"/>
      <c r="D561" s="481"/>
      <c r="E561" s="481"/>
      <c r="F561" s="481"/>
      <c r="G561" s="481"/>
      <c r="H561" s="481"/>
      <c r="I561" s="481"/>
      <c r="J561" s="482"/>
    </row>
    <row r="562" spans="1:10" x14ac:dyDescent="0.25">
      <c r="A562" s="480"/>
      <c r="B562" s="481"/>
      <c r="C562" s="481"/>
      <c r="D562" s="481"/>
      <c r="E562" s="481"/>
      <c r="F562" s="481"/>
      <c r="G562" s="481"/>
      <c r="H562" s="481"/>
      <c r="I562" s="481"/>
      <c r="J562" s="482"/>
    </row>
    <row r="563" spans="1:10" x14ac:dyDescent="0.25">
      <c r="A563" s="480"/>
      <c r="B563" s="481"/>
      <c r="C563" s="481"/>
      <c r="D563" s="481"/>
      <c r="E563" s="481"/>
      <c r="F563" s="481"/>
      <c r="G563" s="481"/>
      <c r="H563" s="481"/>
      <c r="I563" s="481"/>
      <c r="J563" s="482"/>
    </row>
    <row r="564" spans="1:10" x14ac:dyDescent="0.25">
      <c r="A564" s="480"/>
      <c r="B564" s="481"/>
      <c r="C564" s="481"/>
      <c r="D564" s="481"/>
      <c r="E564" s="481"/>
      <c r="F564" s="481"/>
      <c r="G564" s="481"/>
      <c r="H564" s="481"/>
      <c r="I564" s="481"/>
      <c r="J564" s="482"/>
    </row>
    <row r="565" spans="1:10" x14ac:dyDescent="0.25">
      <c r="A565" s="480"/>
      <c r="B565" s="481"/>
      <c r="C565" s="481"/>
      <c r="D565" s="481"/>
      <c r="E565" s="481"/>
      <c r="F565" s="481"/>
      <c r="G565" s="481"/>
      <c r="H565" s="481"/>
      <c r="I565" s="481"/>
      <c r="J565" s="482"/>
    </row>
    <row r="566" spans="1:10" x14ac:dyDescent="0.25">
      <c r="A566" s="480"/>
      <c r="B566" s="481"/>
      <c r="C566" s="481"/>
      <c r="D566" s="481"/>
      <c r="E566" s="481"/>
      <c r="F566" s="481"/>
      <c r="G566" s="481"/>
      <c r="H566" s="481"/>
      <c r="I566" s="481"/>
      <c r="J566" s="482"/>
    </row>
    <row r="567" spans="1:10" x14ac:dyDescent="0.25">
      <c r="A567" s="480"/>
      <c r="B567" s="481"/>
      <c r="C567" s="481"/>
      <c r="D567" s="481"/>
      <c r="E567" s="481"/>
      <c r="F567" s="481"/>
      <c r="G567" s="481"/>
      <c r="H567" s="481"/>
      <c r="I567" s="481"/>
      <c r="J567" s="482"/>
    </row>
    <row r="568" spans="1:10" x14ac:dyDescent="0.25">
      <c r="A568" s="480"/>
      <c r="B568" s="481"/>
      <c r="C568" s="481"/>
      <c r="D568" s="481"/>
      <c r="E568" s="481"/>
      <c r="F568" s="481"/>
      <c r="G568" s="481"/>
      <c r="H568" s="481"/>
      <c r="I568" s="481"/>
      <c r="J568" s="482"/>
    </row>
    <row r="569" spans="1:10" x14ac:dyDescent="0.25">
      <c r="A569" s="480"/>
      <c r="B569" s="481"/>
      <c r="C569" s="481"/>
      <c r="D569" s="481"/>
      <c r="E569" s="481"/>
      <c r="F569" s="481"/>
      <c r="G569" s="481"/>
      <c r="H569" s="481"/>
      <c r="I569" s="481"/>
      <c r="J569" s="482"/>
    </row>
    <row r="570" spans="1:10" x14ac:dyDescent="0.25">
      <c r="A570" s="480"/>
      <c r="B570" s="481"/>
      <c r="C570" s="481"/>
      <c r="D570" s="481"/>
      <c r="E570" s="481"/>
      <c r="F570" s="481"/>
      <c r="G570" s="481"/>
      <c r="H570" s="481"/>
      <c r="I570" s="481"/>
      <c r="J570" s="482"/>
    </row>
    <row r="571" spans="1:10" x14ac:dyDescent="0.25">
      <c r="A571" s="480"/>
      <c r="B571" s="481"/>
      <c r="C571" s="481"/>
      <c r="D571" s="481"/>
      <c r="E571" s="481"/>
      <c r="F571" s="481"/>
      <c r="G571" s="481"/>
      <c r="H571" s="481"/>
      <c r="I571" s="481"/>
      <c r="J571" s="482"/>
    </row>
    <row r="572" spans="1:10" x14ac:dyDescent="0.25">
      <c r="A572" s="480"/>
      <c r="B572" s="481"/>
      <c r="C572" s="481"/>
      <c r="D572" s="481"/>
      <c r="E572" s="481"/>
      <c r="F572" s="481"/>
      <c r="G572" s="481"/>
      <c r="H572" s="481"/>
      <c r="I572" s="481"/>
      <c r="J572" s="482"/>
    </row>
    <row r="573" spans="1:10" x14ac:dyDescent="0.25">
      <c r="A573" s="480"/>
      <c r="B573" s="481"/>
      <c r="C573" s="481"/>
      <c r="D573" s="481"/>
      <c r="E573" s="481"/>
      <c r="F573" s="481"/>
      <c r="G573" s="481"/>
      <c r="H573" s="481"/>
      <c r="I573" s="481"/>
      <c r="J573" s="482"/>
    </row>
    <row r="574" spans="1:10" x14ac:dyDescent="0.25">
      <c r="A574" s="480"/>
      <c r="B574" s="481"/>
      <c r="C574" s="481"/>
      <c r="D574" s="481"/>
      <c r="E574" s="481"/>
      <c r="F574" s="481"/>
      <c r="G574" s="481"/>
      <c r="H574" s="481"/>
      <c r="I574" s="481"/>
      <c r="J574" s="482"/>
    </row>
    <row r="575" spans="1:10" x14ac:dyDescent="0.25">
      <c r="A575" s="480"/>
      <c r="B575" s="481"/>
      <c r="C575" s="481"/>
      <c r="D575" s="481"/>
      <c r="E575" s="481"/>
      <c r="F575" s="481"/>
      <c r="G575" s="481"/>
      <c r="H575" s="481"/>
      <c r="I575" s="481"/>
      <c r="J575" s="482"/>
    </row>
    <row r="576" spans="1:10" x14ac:dyDescent="0.25">
      <c r="A576" s="483"/>
      <c r="B576" s="484"/>
      <c r="C576" s="484"/>
      <c r="D576" s="484"/>
      <c r="E576" s="484"/>
      <c r="F576" s="484"/>
      <c r="G576" s="484"/>
      <c r="H576" s="484"/>
      <c r="I576" s="484"/>
      <c r="J576" s="485"/>
    </row>
    <row r="578" spans="1:10" ht="15.6" x14ac:dyDescent="0.3">
      <c r="A578" s="351" t="s">
        <v>848</v>
      </c>
      <c r="B578" s="352"/>
      <c r="C578" s="352"/>
      <c r="D578" s="352"/>
      <c r="E578" s="352"/>
      <c r="F578" s="352"/>
      <c r="G578" s="352"/>
      <c r="H578" s="349" t="str">
        <f>'CONTACT INFORMATION'!$A$24</f>
        <v>Fresno</v>
      </c>
      <c r="I578" s="349"/>
      <c r="J578" s="350"/>
    </row>
    <row r="579" spans="1:10" ht="8.1" customHeight="1" x14ac:dyDescent="0.25">
      <c r="A579" s="163"/>
      <c r="B579" s="163"/>
      <c r="C579" s="163"/>
      <c r="D579" s="163"/>
      <c r="E579" s="163"/>
      <c r="F579" s="163"/>
      <c r="G579" s="163"/>
      <c r="H579" s="163"/>
      <c r="I579" s="163"/>
      <c r="J579" s="163"/>
    </row>
    <row r="580" spans="1:10" ht="13.8" x14ac:dyDescent="0.25">
      <c r="A580" s="458" t="s">
        <v>859</v>
      </c>
      <c r="B580" s="459"/>
      <c r="C580" s="459"/>
      <c r="D580" s="459"/>
      <c r="E580" s="459"/>
      <c r="F580" s="459"/>
      <c r="G580" s="459"/>
      <c r="H580" s="459"/>
      <c r="I580" s="459"/>
      <c r="J580" s="460"/>
    </row>
    <row r="581" spans="1:10" ht="12.75" customHeight="1" x14ac:dyDescent="0.25">
      <c r="A581" s="455" t="s">
        <v>854</v>
      </c>
      <c r="B581" s="456"/>
      <c r="C581" s="456"/>
      <c r="D581" s="457"/>
      <c r="E581" s="527" t="s">
        <v>934</v>
      </c>
      <c r="F581" s="528"/>
      <c r="G581" s="528"/>
      <c r="H581" s="528"/>
      <c r="I581" s="528"/>
      <c r="J581" s="529"/>
    </row>
    <row r="582" spans="1:10" ht="12.75" customHeight="1" x14ac:dyDescent="0.25">
      <c r="A582" s="495" t="s">
        <v>853</v>
      </c>
      <c r="B582" s="496"/>
      <c r="C582" s="496"/>
      <c r="D582" s="497"/>
      <c r="E582" s="530"/>
      <c r="F582" s="531"/>
      <c r="G582" s="531"/>
      <c r="H582" s="531"/>
      <c r="I582" s="531"/>
      <c r="J582" s="532"/>
    </row>
    <row r="583" spans="1:10" x14ac:dyDescent="0.25">
      <c r="A583" s="524" t="s">
        <v>808</v>
      </c>
      <c r="B583" s="525"/>
      <c r="C583" s="525"/>
      <c r="D583" s="526"/>
      <c r="E583" s="471" t="s">
        <v>517</v>
      </c>
      <c r="F583" s="472"/>
      <c r="G583" s="472"/>
      <c r="H583" s="472"/>
      <c r="I583" s="472"/>
      <c r="J583" s="473"/>
    </row>
    <row r="584" spans="1:10" ht="27" customHeight="1" x14ac:dyDescent="0.25">
      <c r="A584" s="157"/>
      <c r="B584" s="208"/>
      <c r="C584" s="208"/>
      <c r="D584" s="208"/>
      <c r="E584" s="474" t="s">
        <v>535</v>
      </c>
      <c r="F584" s="475"/>
      <c r="G584" s="474" t="s">
        <v>533</v>
      </c>
      <c r="H584" s="475"/>
      <c r="I584" s="476" t="s">
        <v>849</v>
      </c>
      <c r="J584" s="477"/>
    </row>
    <row r="585" spans="1:10" x14ac:dyDescent="0.25">
      <c r="A585" s="441" t="s">
        <v>527</v>
      </c>
      <c r="B585" s="442"/>
      <c r="C585" s="442"/>
      <c r="D585" s="443"/>
      <c r="E585" s="449">
        <v>297840</v>
      </c>
      <c r="F585" s="449"/>
      <c r="G585" s="449"/>
      <c r="H585" s="449"/>
      <c r="I585" s="450"/>
      <c r="J585" s="450"/>
    </row>
    <row r="586" spans="1:10" x14ac:dyDescent="0.25">
      <c r="A586" s="445" t="s">
        <v>528</v>
      </c>
      <c r="B586" s="446"/>
      <c r="C586" s="446"/>
      <c r="D586" s="447"/>
      <c r="E586" s="432">
        <v>5378</v>
      </c>
      <c r="F586" s="432"/>
      <c r="G586" s="433"/>
      <c r="H586" s="433"/>
      <c r="I586" s="448"/>
      <c r="J586" s="448"/>
    </row>
    <row r="587" spans="1:10" x14ac:dyDescent="0.25">
      <c r="A587" s="441" t="s">
        <v>529</v>
      </c>
      <c r="B587" s="442"/>
      <c r="C587" s="442"/>
      <c r="D587" s="443"/>
      <c r="E587" s="449"/>
      <c r="F587" s="449"/>
      <c r="G587" s="449"/>
      <c r="H587" s="449"/>
      <c r="I587" s="450"/>
      <c r="J587" s="450"/>
    </row>
    <row r="588" spans="1:10" x14ac:dyDescent="0.25">
      <c r="A588" s="445" t="s">
        <v>530</v>
      </c>
      <c r="B588" s="446"/>
      <c r="C588" s="446"/>
      <c r="D588" s="447"/>
      <c r="E588" s="432"/>
      <c r="F588" s="432"/>
      <c r="G588" s="433"/>
      <c r="H588" s="433"/>
      <c r="I588" s="448"/>
      <c r="J588" s="448"/>
    </row>
    <row r="589" spans="1:10" x14ac:dyDescent="0.25">
      <c r="A589" s="441" t="s">
        <v>531</v>
      </c>
      <c r="B589" s="442"/>
      <c r="C589" s="442"/>
      <c r="D589" s="443"/>
      <c r="E589" s="449"/>
      <c r="F589" s="449"/>
      <c r="G589" s="449"/>
      <c r="H589" s="449"/>
      <c r="I589" s="450"/>
      <c r="J589" s="450"/>
    </row>
    <row r="590" spans="1:10" x14ac:dyDescent="0.25">
      <c r="A590" s="445" t="s">
        <v>532</v>
      </c>
      <c r="B590" s="446"/>
      <c r="C590" s="446"/>
      <c r="D590" s="447"/>
      <c r="E590" s="432">
        <v>1516</v>
      </c>
      <c r="F590" s="432"/>
      <c r="G590" s="433"/>
      <c r="H590" s="433"/>
      <c r="I590" s="448"/>
      <c r="J590" s="448"/>
    </row>
    <row r="591" spans="1:10" x14ac:dyDescent="0.25">
      <c r="A591" s="441" t="s">
        <v>537</v>
      </c>
      <c r="B591" s="442"/>
      <c r="C591" s="442"/>
      <c r="D591" s="443"/>
      <c r="E591" s="444"/>
      <c r="F591" s="444"/>
      <c r="G591" s="444"/>
      <c r="H591" s="444"/>
      <c r="I591" s="438"/>
      <c r="J591" s="438"/>
    </row>
    <row r="592" spans="1:10" x14ac:dyDescent="0.25">
      <c r="A592" s="429"/>
      <c r="B592" s="430"/>
      <c r="C592" s="430"/>
      <c r="D592" s="431"/>
      <c r="E592" s="432"/>
      <c r="F592" s="432"/>
      <c r="G592" s="433"/>
      <c r="H592" s="433"/>
      <c r="I592" s="433"/>
      <c r="J592" s="433"/>
    </row>
    <row r="593" spans="1:10" x14ac:dyDescent="0.25">
      <c r="A593" s="429"/>
      <c r="B593" s="430"/>
      <c r="C593" s="430"/>
      <c r="D593" s="431"/>
      <c r="E593" s="432"/>
      <c r="F593" s="432"/>
      <c r="G593" s="433"/>
      <c r="H593" s="433"/>
      <c r="I593" s="433"/>
      <c r="J593" s="433"/>
    </row>
    <row r="594" spans="1:10" x14ac:dyDescent="0.25">
      <c r="A594" s="429"/>
      <c r="B594" s="430"/>
      <c r="C594" s="430"/>
      <c r="D594" s="431"/>
      <c r="E594" s="432"/>
      <c r="F594" s="432"/>
      <c r="G594" s="433"/>
      <c r="H594" s="433"/>
      <c r="I594" s="433"/>
      <c r="J594" s="433"/>
    </row>
    <row r="595" spans="1:10" x14ac:dyDescent="0.25">
      <c r="A595" s="434" t="s">
        <v>534</v>
      </c>
      <c r="B595" s="435"/>
      <c r="C595" s="435"/>
      <c r="D595" s="436"/>
      <c r="E595" s="437">
        <f>SUM(E585:E594)</f>
        <v>304734</v>
      </c>
      <c r="F595" s="437"/>
      <c r="G595" s="437">
        <f>SUM(G585:G594)</f>
        <v>0</v>
      </c>
      <c r="H595" s="437"/>
      <c r="I595" s="437">
        <f>SUM(I585:I594)</f>
        <v>0</v>
      </c>
      <c r="J595" s="437"/>
    </row>
    <row r="596" spans="1:10" ht="12.75" customHeight="1" x14ac:dyDescent="0.25">
      <c r="A596" s="486" t="s">
        <v>861</v>
      </c>
      <c r="B596" s="487"/>
      <c r="C596" s="487"/>
      <c r="D596" s="487"/>
      <c r="E596" s="487"/>
      <c r="F596" s="487"/>
      <c r="G596" s="487"/>
      <c r="H596" s="487"/>
      <c r="I596" s="487"/>
      <c r="J596" s="488"/>
    </row>
    <row r="597" spans="1:10" ht="12.75" customHeight="1" x14ac:dyDescent="0.25">
      <c r="A597" s="489" t="s">
        <v>862</v>
      </c>
      <c r="B597" s="490"/>
      <c r="C597" s="490"/>
      <c r="D597" s="490"/>
      <c r="E597" s="490"/>
      <c r="F597" s="490"/>
      <c r="G597" s="490"/>
      <c r="H597" s="490"/>
      <c r="I597" s="490"/>
      <c r="J597" s="491"/>
    </row>
    <row r="598" spans="1:10" ht="12.75" customHeight="1" x14ac:dyDescent="0.25">
      <c r="A598" s="489" t="s">
        <v>863</v>
      </c>
      <c r="B598" s="490"/>
      <c r="C598" s="490"/>
      <c r="D598" s="490"/>
      <c r="E598" s="490"/>
      <c r="F598" s="490"/>
      <c r="G598" s="490"/>
      <c r="H598" s="490"/>
      <c r="I598" s="490"/>
      <c r="J598" s="491"/>
    </row>
    <row r="599" spans="1:10" ht="12.75" customHeight="1" x14ac:dyDescent="0.25">
      <c r="A599" s="492" t="s">
        <v>864</v>
      </c>
      <c r="B599" s="493"/>
      <c r="C599" s="493"/>
      <c r="D599" s="493"/>
      <c r="E599" s="493"/>
      <c r="F599" s="493"/>
      <c r="G599" s="493"/>
      <c r="H599" s="493"/>
      <c r="I599" s="493"/>
      <c r="J599" s="494"/>
    </row>
    <row r="600" spans="1:10" x14ac:dyDescent="0.25">
      <c r="A600" s="300" t="s">
        <v>964</v>
      </c>
      <c r="B600" s="533"/>
      <c r="C600" s="533"/>
      <c r="D600" s="533"/>
      <c r="E600" s="533"/>
      <c r="F600" s="533"/>
      <c r="G600" s="533"/>
      <c r="H600" s="533"/>
      <c r="I600" s="533"/>
      <c r="J600" s="534"/>
    </row>
    <row r="601" spans="1:10" x14ac:dyDescent="0.25">
      <c r="A601" s="535"/>
      <c r="B601" s="536"/>
      <c r="C601" s="536"/>
      <c r="D601" s="536"/>
      <c r="E601" s="536"/>
      <c r="F601" s="536"/>
      <c r="G601" s="536"/>
      <c r="H601" s="536"/>
      <c r="I601" s="536"/>
      <c r="J601" s="537"/>
    </row>
    <row r="602" spans="1:10" x14ac:dyDescent="0.25">
      <c r="A602" s="535"/>
      <c r="B602" s="536"/>
      <c r="C602" s="536"/>
      <c r="D602" s="536"/>
      <c r="E602" s="536"/>
      <c r="F602" s="536"/>
      <c r="G602" s="536"/>
      <c r="H602" s="536"/>
      <c r="I602" s="536"/>
      <c r="J602" s="537"/>
    </row>
    <row r="603" spans="1:10" x14ac:dyDescent="0.25">
      <c r="A603" s="535"/>
      <c r="B603" s="536"/>
      <c r="C603" s="536"/>
      <c r="D603" s="536"/>
      <c r="E603" s="536"/>
      <c r="F603" s="536"/>
      <c r="G603" s="536"/>
      <c r="H603" s="536"/>
      <c r="I603" s="536"/>
      <c r="J603" s="537"/>
    </row>
    <row r="604" spans="1:10" x14ac:dyDescent="0.25">
      <c r="A604" s="535"/>
      <c r="B604" s="536"/>
      <c r="C604" s="536"/>
      <c r="D604" s="536"/>
      <c r="E604" s="536"/>
      <c r="F604" s="536"/>
      <c r="G604" s="536"/>
      <c r="H604" s="536"/>
      <c r="I604" s="536"/>
      <c r="J604" s="537"/>
    </row>
    <row r="605" spans="1:10" x14ac:dyDescent="0.25">
      <c r="A605" s="535"/>
      <c r="B605" s="536"/>
      <c r="C605" s="536"/>
      <c r="D605" s="536"/>
      <c r="E605" s="536"/>
      <c r="F605" s="536"/>
      <c r="G605" s="536"/>
      <c r="H605" s="536"/>
      <c r="I605" s="536"/>
      <c r="J605" s="537"/>
    </row>
    <row r="606" spans="1:10" x14ac:dyDescent="0.25">
      <c r="A606" s="535"/>
      <c r="B606" s="536"/>
      <c r="C606" s="536"/>
      <c r="D606" s="536"/>
      <c r="E606" s="536"/>
      <c r="F606" s="536"/>
      <c r="G606" s="536"/>
      <c r="H606" s="536"/>
      <c r="I606" s="536"/>
      <c r="J606" s="537"/>
    </row>
    <row r="607" spans="1:10" x14ac:dyDescent="0.25">
      <c r="A607" s="535"/>
      <c r="B607" s="536"/>
      <c r="C607" s="536"/>
      <c r="D607" s="536"/>
      <c r="E607" s="536"/>
      <c r="F607" s="536"/>
      <c r="G607" s="536"/>
      <c r="H607" s="536"/>
      <c r="I607" s="536"/>
      <c r="J607" s="537"/>
    </row>
    <row r="608" spans="1:10" x14ac:dyDescent="0.25">
      <c r="A608" s="535"/>
      <c r="B608" s="536"/>
      <c r="C608" s="536"/>
      <c r="D608" s="536"/>
      <c r="E608" s="536"/>
      <c r="F608" s="536"/>
      <c r="G608" s="536"/>
      <c r="H608" s="536"/>
      <c r="I608" s="536"/>
      <c r="J608" s="537"/>
    </row>
    <row r="609" spans="1:10" x14ac:dyDescent="0.25">
      <c r="A609" s="535"/>
      <c r="B609" s="536"/>
      <c r="C609" s="536"/>
      <c r="D609" s="536"/>
      <c r="E609" s="536"/>
      <c r="F609" s="536"/>
      <c r="G609" s="536"/>
      <c r="H609" s="536"/>
      <c r="I609" s="536"/>
      <c r="J609" s="537"/>
    </row>
    <row r="610" spans="1:10" x14ac:dyDescent="0.25">
      <c r="A610" s="535"/>
      <c r="B610" s="536"/>
      <c r="C610" s="536"/>
      <c r="D610" s="536"/>
      <c r="E610" s="536"/>
      <c r="F610" s="536"/>
      <c r="G610" s="536"/>
      <c r="H610" s="536"/>
      <c r="I610" s="536"/>
      <c r="J610" s="537"/>
    </row>
    <row r="611" spans="1:10" x14ac:dyDescent="0.25">
      <c r="A611" s="535"/>
      <c r="B611" s="536"/>
      <c r="C611" s="536"/>
      <c r="D611" s="536"/>
      <c r="E611" s="536"/>
      <c r="F611" s="536"/>
      <c r="G611" s="536"/>
      <c r="H611" s="536"/>
      <c r="I611" s="536"/>
      <c r="J611" s="537"/>
    </row>
    <row r="612" spans="1:10" x14ac:dyDescent="0.25">
      <c r="A612" s="535"/>
      <c r="B612" s="536"/>
      <c r="C612" s="536"/>
      <c r="D612" s="536"/>
      <c r="E612" s="536"/>
      <c r="F612" s="536"/>
      <c r="G612" s="536"/>
      <c r="H612" s="536"/>
      <c r="I612" s="536"/>
      <c r="J612" s="537"/>
    </row>
    <row r="613" spans="1:10" x14ac:dyDescent="0.25">
      <c r="A613" s="535"/>
      <c r="B613" s="536"/>
      <c r="C613" s="536"/>
      <c r="D613" s="536"/>
      <c r="E613" s="536"/>
      <c r="F613" s="536"/>
      <c r="G613" s="536"/>
      <c r="H613" s="536"/>
      <c r="I613" s="536"/>
      <c r="J613" s="537"/>
    </row>
    <row r="614" spans="1:10" x14ac:dyDescent="0.25">
      <c r="A614" s="535"/>
      <c r="B614" s="536"/>
      <c r="C614" s="536"/>
      <c r="D614" s="536"/>
      <c r="E614" s="536"/>
      <c r="F614" s="536"/>
      <c r="G614" s="536"/>
      <c r="H614" s="536"/>
      <c r="I614" s="536"/>
      <c r="J614" s="537"/>
    </row>
    <row r="615" spans="1:10" x14ac:dyDescent="0.25">
      <c r="A615" s="535"/>
      <c r="B615" s="536"/>
      <c r="C615" s="536"/>
      <c r="D615" s="536"/>
      <c r="E615" s="536"/>
      <c r="F615" s="536"/>
      <c r="G615" s="536"/>
      <c r="H615" s="536"/>
      <c r="I615" s="536"/>
      <c r="J615" s="537"/>
    </row>
    <row r="616" spans="1:10" x14ac:dyDescent="0.25">
      <c r="A616" s="535"/>
      <c r="B616" s="536"/>
      <c r="C616" s="536"/>
      <c r="D616" s="536"/>
      <c r="E616" s="536"/>
      <c r="F616" s="536"/>
      <c r="G616" s="536"/>
      <c r="H616" s="536"/>
      <c r="I616" s="536"/>
      <c r="J616" s="537"/>
    </row>
    <row r="617" spans="1:10" x14ac:dyDescent="0.25">
      <c r="A617" s="535"/>
      <c r="B617" s="536"/>
      <c r="C617" s="536"/>
      <c r="D617" s="536"/>
      <c r="E617" s="536"/>
      <c r="F617" s="536"/>
      <c r="G617" s="536"/>
      <c r="H617" s="536"/>
      <c r="I617" s="536"/>
      <c r="J617" s="537"/>
    </row>
    <row r="618" spans="1:10" x14ac:dyDescent="0.25">
      <c r="A618" s="535"/>
      <c r="B618" s="536"/>
      <c r="C618" s="536"/>
      <c r="D618" s="536"/>
      <c r="E618" s="536"/>
      <c r="F618" s="536"/>
      <c r="G618" s="536"/>
      <c r="H618" s="536"/>
      <c r="I618" s="536"/>
      <c r="J618" s="537"/>
    </row>
    <row r="619" spans="1:10" x14ac:dyDescent="0.25">
      <c r="A619" s="535"/>
      <c r="B619" s="536"/>
      <c r="C619" s="536"/>
      <c r="D619" s="536"/>
      <c r="E619" s="536"/>
      <c r="F619" s="536"/>
      <c r="G619" s="536"/>
      <c r="H619" s="536"/>
      <c r="I619" s="536"/>
      <c r="J619" s="537"/>
    </row>
    <row r="620" spans="1:10" x14ac:dyDescent="0.25">
      <c r="A620" s="535"/>
      <c r="B620" s="536"/>
      <c r="C620" s="536"/>
      <c r="D620" s="536"/>
      <c r="E620" s="536"/>
      <c r="F620" s="536"/>
      <c r="G620" s="536"/>
      <c r="H620" s="536"/>
      <c r="I620" s="536"/>
      <c r="J620" s="537"/>
    </row>
    <row r="621" spans="1:10" x14ac:dyDescent="0.25">
      <c r="A621" s="535"/>
      <c r="B621" s="536"/>
      <c r="C621" s="536"/>
      <c r="D621" s="536"/>
      <c r="E621" s="536"/>
      <c r="F621" s="536"/>
      <c r="G621" s="536"/>
      <c r="H621" s="536"/>
      <c r="I621" s="536"/>
      <c r="J621" s="537"/>
    </row>
    <row r="622" spans="1:10" x14ac:dyDescent="0.25">
      <c r="A622" s="535"/>
      <c r="B622" s="536"/>
      <c r="C622" s="536"/>
      <c r="D622" s="536"/>
      <c r="E622" s="536"/>
      <c r="F622" s="536"/>
      <c r="G622" s="536"/>
      <c r="H622" s="536"/>
      <c r="I622" s="536"/>
      <c r="J622" s="537"/>
    </row>
    <row r="623" spans="1:10" x14ac:dyDescent="0.25">
      <c r="A623" s="535"/>
      <c r="B623" s="536"/>
      <c r="C623" s="536"/>
      <c r="D623" s="536"/>
      <c r="E623" s="536"/>
      <c r="F623" s="536"/>
      <c r="G623" s="536"/>
      <c r="H623" s="536"/>
      <c r="I623" s="536"/>
      <c r="J623" s="537"/>
    </row>
    <row r="624" spans="1:10" x14ac:dyDescent="0.25">
      <c r="A624" s="535"/>
      <c r="B624" s="536"/>
      <c r="C624" s="536"/>
      <c r="D624" s="536"/>
      <c r="E624" s="536"/>
      <c r="F624" s="536"/>
      <c r="G624" s="536"/>
      <c r="H624" s="536"/>
      <c r="I624" s="536"/>
      <c r="J624" s="537"/>
    </row>
    <row r="625" spans="1:10" x14ac:dyDescent="0.25">
      <c r="A625" s="535"/>
      <c r="B625" s="536"/>
      <c r="C625" s="536"/>
      <c r="D625" s="536"/>
      <c r="E625" s="536"/>
      <c r="F625" s="536"/>
      <c r="G625" s="536"/>
      <c r="H625" s="536"/>
      <c r="I625" s="536"/>
      <c r="J625" s="537"/>
    </row>
    <row r="626" spans="1:10" x14ac:dyDescent="0.25">
      <c r="A626" s="535"/>
      <c r="B626" s="536"/>
      <c r="C626" s="536"/>
      <c r="D626" s="536"/>
      <c r="E626" s="536"/>
      <c r="F626" s="536"/>
      <c r="G626" s="536"/>
      <c r="H626" s="536"/>
      <c r="I626" s="536"/>
      <c r="J626" s="537"/>
    </row>
    <row r="627" spans="1:10" x14ac:dyDescent="0.25">
      <c r="A627" s="535"/>
      <c r="B627" s="536"/>
      <c r="C627" s="536"/>
      <c r="D627" s="536"/>
      <c r="E627" s="536"/>
      <c r="F627" s="536"/>
      <c r="G627" s="536"/>
      <c r="H627" s="536"/>
      <c r="I627" s="536"/>
      <c r="J627" s="537"/>
    </row>
    <row r="628" spans="1:10" x14ac:dyDescent="0.25">
      <c r="A628" s="535"/>
      <c r="B628" s="536"/>
      <c r="C628" s="536"/>
      <c r="D628" s="536"/>
      <c r="E628" s="536"/>
      <c r="F628" s="536"/>
      <c r="G628" s="536"/>
      <c r="H628" s="536"/>
      <c r="I628" s="536"/>
      <c r="J628" s="537"/>
    </row>
    <row r="629" spans="1:10" x14ac:dyDescent="0.25">
      <c r="A629" s="535"/>
      <c r="B629" s="536"/>
      <c r="C629" s="536"/>
      <c r="D629" s="536"/>
      <c r="E629" s="536"/>
      <c r="F629" s="536"/>
      <c r="G629" s="536"/>
      <c r="H629" s="536"/>
      <c r="I629" s="536"/>
      <c r="J629" s="537"/>
    </row>
    <row r="630" spans="1:10" x14ac:dyDescent="0.25">
      <c r="A630" s="535"/>
      <c r="B630" s="536"/>
      <c r="C630" s="536"/>
      <c r="D630" s="536"/>
      <c r="E630" s="536"/>
      <c r="F630" s="536"/>
      <c r="G630" s="536"/>
      <c r="H630" s="536"/>
      <c r="I630" s="536"/>
      <c r="J630" s="537"/>
    </row>
    <row r="631" spans="1:10" x14ac:dyDescent="0.25">
      <c r="A631" s="535"/>
      <c r="B631" s="536"/>
      <c r="C631" s="536"/>
      <c r="D631" s="536"/>
      <c r="E631" s="536"/>
      <c r="F631" s="536"/>
      <c r="G631" s="536"/>
      <c r="H631" s="536"/>
      <c r="I631" s="536"/>
      <c r="J631" s="537"/>
    </row>
    <row r="632" spans="1:10" x14ac:dyDescent="0.25">
      <c r="A632" s="535"/>
      <c r="B632" s="536"/>
      <c r="C632" s="536"/>
      <c r="D632" s="536"/>
      <c r="E632" s="536"/>
      <c r="F632" s="536"/>
      <c r="G632" s="536"/>
      <c r="H632" s="536"/>
      <c r="I632" s="536"/>
      <c r="J632" s="537"/>
    </row>
    <row r="633" spans="1:10" x14ac:dyDescent="0.25">
      <c r="A633" s="535"/>
      <c r="B633" s="536"/>
      <c r="C633" s="536"/>
      <c r="D633" s="536"/>
      <c r="E633" s="536"/>
      <c r="F633" s="536"/>
      <c r="G633" s="536"/>
      <c r="H633" s="536"/>
      <c r="I633" s="536"/>
      <c r="J633" s="537"/>
    </row>
    <row r="634" spans="1:10" x14ac:dyDescent="0.25">
      <c r="A634" s="538"/>
      <c r="B634" s="539"/>
      <c r="C634" s="539"/>
      <c r="D634" s="539"/>
      <c r="E634" s="539"/>
      <c r="F634" s="539"/>
      <c r="G634" s="539"/>
      <c r="H634" s="539"/>
      <c r="I634" s="539"/>
      <c r="J634" s="540"/>
    </row>
    <row r="636" spans="1:10" ht="15.6" x14ac:dyDescent="0.3">
      <c r="A636" s="351" t="s">
        <v>848</v>
      </c>
      <c r="B636" s="352"/>
      <c r="C636" s="352"/>
      <c r="D636" s="352"/>
      <c r="E636" s="352"/>
      <c r="F636" s="352"/>
      <c r="G636" s="352"/>
      <c r="H636" s="349" t="str">
        <f>'CONTACT INFORMATION'!$A$24</f>
        <v>Fresno</v>
      </c>
      <c r="I636" s="349"/>
      <c r="J636" s="350"/>
    </row>
    <row r="637" spans="1:10" ht="8.1" customHeight="1" x14ac:dyDescent="0.25">
      <c r="A637" s="163"/>
      <c r="B637" s="163"/>
      <c r="C637" s="163"/>
      <c r="D637" s="163"/>
      <c r="E637" s="163"/>
      <c r="F637" s="163"/>
      <c r="G637" s="163"/>
      <c r="H637" s="163"/>
      <c r="I637" s="163"/>
      <c r="J637" s="163"/>
    </row>
    <row r="638" spans="1:10" ht="13.8" x14ac:dyDescent="0.25">
      <c r="A638" s="458" t="s">
        <v>860</v>
      </c>
      <c r="B638" s="459"/>
      <c r="C638" s="459"/>
      <c r="D638" s="459"/>
      <c r="E638" s="459"/>
      <c r="F638" s="459"/>
      <c r="G638" s="459"/>
      <c r="H638" s="459"/>
      <c r="I638" s="459"/>
      <c r="J638" s="460"/>
    </row>
    <row r="639" spans="1:10" x14ac:dyDescent="0.25">
      <c r="A639" s="455" t="s">
        <v>854</v>
      </c>
      <c r="B639" s="456"/>
      <c r="C639" s="456"/>
      <c r="D639" s="457"/>
      <c r="E639" s="527" t="s">
        <v>935</v>
      </c>
      <c r="F639" s="528"/>
      <c r="G639" s="528"/>
      <c r="H639" s="528"/>
      <c r="I639" s="528"/>
      <c r="J639" s="529"/>
    </row>
    <row r="640" spans="1:10" x14ac:dyDescent="0.25">
      <c r="A640" s="495" t="s">
        <v>853</v>
      </c>
      <c r="B640" s="496"/>
      <c r="C640" s="496"/>
      <c r="D640" s="497"/>
      <c r="E640" s="530"/>
      <c r="F640" s="531"/>
      <c r="G640" s="531"/>
      <c r="H640" s="531"/>
      <c r="I640" s="531"/>
      <c r="J640" s="532"/>
    </row>
    <row r="641" spans="1:10" x14ac:dyDescent="0.25">
      <c r="A641" s="524" t="s">
        <v>808</v>
      </c>
      <c r="B641" s="525"/>
      <c r="C641" s="525"/>
      <c r="D641" s="526"/>
      <c r="E641" s="471" t="s">
        <v>489</v>
      </c>
      <c r="F641" s="472"/>
      <c r="G641" s="472"/>
      <c r="H641" s="472"/>
      <c r="I641" s="472"/>
      <c r="J641" s="473"/>
    </row>
    <row r="642" spans="1:10" ht="27" customHeight="1" x14ac:dyDescent="0.25">
      <c r="A642" s="157"/>
      <c r="B642" s="208"/>
      <c r="C642" s="208"/>
      <c r="D642" s="208"/>
      <c r="E642" s="474" t="s">
        <v>535</v>
      </c>
      <c r="F642" s="475"/>
      <c r="G642" s="474" t="s">
        <v>533</v>
      </c>
      <c r="H642" s="475"/>
      <c r="I642" s="476" t="s">
        <v>849</v>
      </c>
      <c r="J642" s="477"/>
    </row>
    <row r="643" spans="1:10" x14ac:dyDescent="0.25">
      <c r="A643" s="441" t="s">
        <v>527</v>
      </c>
      <c r="B643" s="442"/>
      <c r="C643" s="442"/>
      <c r="D643" s="443"/>
      <c r="E643" s="449">
        <v>157803</v>
      </c>
      <c r="F643" s="449"/>
      <c r="G643" s="449"/>
      <c r="H643" s="449"/>
      <c r="I643" s="450"/>
      <c r="J643" s="450"/>
    </row>
    <row r="644" spans="1:10" x14ac:dyDescent="0.25">
      <c r="A644" s="445" t="s">
        <v>528</v>
      </c>
      <c r="B644" s="446"/>
      <c r="C644" s="446"/>
      <c r="D644" s="447"/>
      <c r="E644" s="432">
        <v>5429</v>
      </c>
      <c r="F644" s="432"/>
      <c r="G644" s="433"/>
      <c r="H644" s="433"/>
      <c r="I644" s="448"/>
      <c r="J644" s="448"/>
    </row>
    <row r="645" spans="1:10" x14ac:dyDescent="0.25">
      <c r="A645" s="441" t="s">
        <v>529</v>
      </c>
      <c r="B645" s="442"/>
      <c r="C645" s="442"/>
      <c r="D645" s="443"/>
      <c r="E645" s="449"/>
      <c r="F645" s="449"/>
      <c r="G645" s="449"/>
      <c r="H645" s="449"/>
      <c r="I645" s="450"/>
      <c r="J645" s="450"/>
    </row>
    <row r="646" spans="1:10" x14ac:dyDescent="0.25">
      <c r="A646" s="445" t="s">
        <v>530</v>
      </c>
      <c r="B646" s="446"/>
      <c r="C646" s="446"/>
      <c r="D646" s="447"/>
      <c r="E646" s="432"/>
      <c r="F646" s="432"/>
      <c r="G646" s="433"/>
      <c r="H646" s="433"/>
      <c r="I646" s="448"/>
      <c r="J646" s="448"/>
    </row>
    <row r="647" spans="1:10" x14ac:dyDescent="0.25">
      <c r="A647" s="441" t="s">
        <v>531</v>
      </c>
      <c r="B647" s="442"/>
      <c r="C647" s="442"/>
      <c r="D647" s="443"/>
      <c r="E647" s="449"/>
      <c r="F647" s="449"/>
      <c r="G647" s="449"/>
      <c r="H647" s="449"/>
      <c r="I647" s="450"/>
      <c r="J647" s="450"/>
    </row>
    <row r="648" spans="1:10" x14ac:dyDescent="0.25">
      <c r="A648" s="445" t="s">
        <v>532</v>
      </c>
      <c r="B648" s="446"/>
      <c r="C648" s="446"/>
      <c r="D648" s="447"/>
      <c r="E648" s="432">
        <v>816</v>
      </c>
      <c r="F648" s="432"/>
      <c r="G648" s="433"/>
      <c r="H648" s="433"/>
      <c r="I648" s="448"/>
      <c r="J648" s="448"/>
    </row>
    <row r="649" spans="1:10" x14ac:dyDescent="0.25">
      <c r="A649" s="441" t="s">
        <v>537</v>
      </c>
      <c r="B649" s="442"/>
      <c r="C649" s="442"/>
      <c r="D649" s="443"/>
      <c r="E649" s="444"/>
      <c r="F649" s="444"/>
      <c r="G649" s="444"/>
      <c r="H649" s="444"/>
      <c r="I649" s="438"/>
      <c r="J649" s="438"/>
    </row>
    <row r="650" spans="1:10" x14ac:dyDescent="0.25">
      <c r="A650" s="429"/>
      <c r="B650" s="430"/>
      <c r="C650" s="430"/>
      <c r="D650" s="431"/>
      <c r="E650" s="432"/>
      <c r="F650" s="432"/>
      <c r="G650" s="433"/>
      <c r="H650" s="433"/>
      <c r="I650" s="433"/>
      <c r="J650" s="433"/>
    </row>
    <row r="651" spans="1:10" x14ac:dyDescent="0.25">
      <c r="A651" s="429"/>
      <c r="B651" s="430"/>
      <c r="C651" s="430"/>
      <c r="D651" s="431"/>
      <c r="E651" s="432"/>
      <c r="F651" s="432"/>
      <c r="G651" s="433"/>
      <c r="H651" s="433"/>
      <c r="I651" s="433"/>
      <c r="J651" s="433"/>
    </row>
    <row r="652" spans="1:10" x14ac:dyDescent="0.25">
      <c r="A652" s="429"/>
      <c r="B652" s="430"/>
      <c r="C652" s="430"/>
      <c r="D652" s="431"/>
      <c r="E652" s="432"/>
      <c r="F652" s="432"/>
      <c r="G652" s="433"/>
      <c r="H652" s="433"/>
      <c r="I652" s="433"/>
      <c r="J652" s="433"/>
    </row>
    <row r="653" spans="1:10" x14ac:dyDescent="0.25">
      <c r="A653" s="434" t="s">
        <v>534</v>
      </c>
      <c r="B653" s="435"/>
      <c r="C653" s="435"/>
      <c r="D653" s="436"/>
      <c r="E653" s="437">
        <f>SUM(E643:E652)</f>
        <v>164048</v>
      </c>
      <c r="F653" s="437"/>
      <c r="G653" s="437">
        <f>SUM(G643:G652)</f>
        <v>0</v>
      </c>
      <c r="H653" s="437"/>
      <c r="I653" s="437">
        <f>SUM(I643:I652)</f>
        <v>0</v>
      </c>
      <c r="J653" s="437"/>
    </row>
    <row r="654" spans="1:10" x14ac:dyDescent="0.25">
      <c r="A654" s="486" t="s">
        <v>861</v>
      </c>
      <c r="B654" s="487"/>
      <c r="C654" s="487"/>
      <c r="D654" s="487"/>
      <c r="E654" s="487"/>
      <c r="F654" s="487"/>
      <c r="G654" s="487"/>
      <c r="H654" s="487"/>
      <c r="I654" s="487"/>
      <c r="J654" s="488"/>
    </row>
    <row r="655" spans="1:10" x14ac:dyDescent="0.25">
      <c r="A655" s="489" t="s">
        <v>862</v>
      </c>
      <c r="B655" s="490"/>
      <c r="C655" s="490"/>
      <c r="D655" s="490"/>
      <c r="E655" s="490"/>
      <c r="F655" s="490"/>
      <c r="G655" s="490"/>
      <c r="H655" s="490"/>
      <c r="I655" s="490"/>
      <c r="J655" s="491"/>
    </row>
    <row r="656" spans="1:10" x14ac:dyDescent="0.25">
      <c r="A656" s="489" t="s">
        <v>863</v>
      </c>
      <c r="B656" s="490"/>
      <c r="C656" s="490"/>
      <c r="D656" s="490"/>
      <c r="E656" s="490"/>
      <c r="F656" s="490"/>
      <c r="G656" s="490"/>
      <c r="H656" s="490"/>
      <c r="I656" s="490"/>
      <c r="J656" s="491"/>
    </row>
    <row r="657" spans="1:10" x14ac:dyDescent="0.25">
      <c r="A657" s="492" t="s">
        <v>864</v>
      </c>
      <c r="B657" s="493"/>
      <c r="C657" s="493"/>
      <c r="D657" s="493"/>
      <c r="E657" s="493"/>
      <c r="F657" s="493"/>
      <c r="G657" s="493"/>
      <c r="H657" s="493"/>
      <c r="I657" s="493"/>
      <c r="J657" s="494"/>
    </row>
    <row r="658" spans="1:10" x14ac:dyDescent="0.25">
      <c r="A658" s="300" t="s">
        <v>950</v>
      </c>
      <c r="B658" s="478"/>
      <c r="C658" s="478"/>
      <c r="D658" s="478"/>
      <c r="E658" s="478"/>
      <c r="F658" s="478"/>
      <c r="G658" s="478"/>
      <c r="H658" s="478"/>
      <c r="I658" s="478"/>
      <c r="J658" s="479"/>
    </row>
    <row r="659" spans="1:10" x14ac:dyDescent="0.25">
      <c r="A659" s="480"/>
      <c r="B659" s="481"/>
      <c r="C659" s="481"/>
      <c r="D659" s="481"/>
      <c r="E659" s="481"/>
      <c r="F659" s="481"/>
      <c r="G659" s="481"/>
      <c r="H659" s="481"/>
      <c r="I659" s="481"/>
      <c r="J659" s="482"/>
    </row>
    <row r="660" spans="1:10" x14ac:dyDescent="0.25">
      <c r="A660" s="480"/>
      <c r="B660" s="481"/>
      <c r="C660" s="481"/>
      <c r="D660" s="481"/>
      <c r="E660" s="481"/>
      <c r="F660" s="481"/>
      <c r="G660" s="481"/>
      <c r="H660" s="481"/>
      <c r="I660" s="481"/>
      <c r="J660" s="482"/>
    </row>
    <row r="661" spans="1:10" x14ac:dyDescent="0.25">
      <c r="A661" s="480"/>
      <c r="B661" s="481"/>
      <c r="C661" s="481"/>
      <c r="D661" s="481"/>
      <c r="E661" s="481"/>
      <c r="F661" s="481"/>
      <c r="G661" s="481"/>
      <c r="H661" s="481"/>
      <c r="I661" s="481"/>
      <c r="J661" s="482"/>
    </row>
    <row r="662" spans="1:10" x14ac:dyDescent="0.25">
      <c r="A662" s="480"/>
      <c r="B662" s="481"/>
      <c r="C662" s="481"/>
      <c r="D662" s="481"/>
      <c r="E662" s="481"/>
      <c r="F662" s="481"/>
      <c r="G662" s="481"/>
      <c r="H662" s="481"/>
      <c r="I662" s="481"/>
      <c r="J662" s="482"/>
    </row>
    <row r="663" spans="1:10" x14ac:dyDescent="0.25">
      <c r="A663" s="480"/>
      <c r="B663" s="481"/>
      <c r="C663" s="481"/>
      <c r="D663" s="481"/>
      <c r="E663" s="481"/>
      <c r="F663" s="481"/>
      <c r="G663" s="481"/>
      <c r="H663" s="481"/>
      <c r="I663" s="481"/>
      <c r="J663" s="482"/>
    </row>
    <row r="664" spans="1:10" x14ac:dyDescent="0.25">
      <c r="A664" s="480"/>
      <c r="B664" s="481"/>
      <c r="C664" s="481"/>
      <c r="D664" s="481"/>
      <c r="E664" s="481"/>
      <c r="F664" s="481"/>
      <c r="G664" s="481"/>
      <c r="H664" s="481"/>
      <c r="I664" s="481"/>
      <c r="J664" s="482"/>
    </row>
    <row r="665" spans="1:10" x14ac:dyDescent="0.25">
      <c r="A665" s="480"/>
      <c r="B665" s="481"/>
      <c r="C665" s="481"/>
      <c r="D665" s="481"/>
      <c r="E665" s="481"/>
      <c r="F665" s="481"/>
      <c r="G665" s="481"/>
      <c r="H665" s="481"/>
      <c r="I665" s="481"/>
      <c r="J665" s="482"/>
    </row>
    <row r="666" spans="1:10" x14ac:dyDescent="0.25">
      <c r="A666" s="480"/>
      <c r="B666" s="481"/>
      <c r="C666" s="481"/>
      <c r="D666" s="481"/>
      <c r="E666" s="481"/>
      <c r="F666" s="481"/>
      <c r="G666" s="481"/>
      <c r="H666" s="481"/>
      <c r="I666" s="481"/>
      <c r="J666" s="482"/>
    </row>
    <row r="667" spans="1:10" x14ac:dyDescent="0.25">
      <c r="A667" s="480"/>
      <c r="B667" s="481"/>
      <c r="C667" s="481"/>
      <c r="D667" s="481"/>
      <c r="E667" s="481"/>
      <c r="F667" s="481"/>
      <c r="G667" s="481"/>
      <c r="H667" s="481"/>
      <c r="I667" s="481"/>
      <c r="J667" s="482"/>
    </row>
    <row r="668" spans="1:10" x14ac:dyDescent="0.25">
      <c r="A668" s="480"/>
      <c r="B668" s="481"/>
      <c r="C668" s="481"/>
      <c r="D668" s="481"/>
      <c r="E668" s="481"/>
      <c r="F668" s="481"/>
      <c r="G668" s="481"/>
      <c r="H668" s="481"/>
      <c r="I668" s="481"/>
      <c r="J668" s="482"/>
    </row>
    <row r="669" spans="1:10" x14ac:dyDescent="0.25">
      <c r="A669" s="480"/>
      <c r="B669" s="481"/>
      <c r="C669" s="481"/>
      <c r="D669" s="481"/>
      <c r="E669" s="481"/>
      <c r="F669" s="481"/>
      <c r="G669" s="481"/>
      <c r="H669" s="481"/>
      <c r="I669" s="481"/>
      <c r="J669" s="482"/>
    </row>
    <row r="670" spans="1:10" x14ac:dyDescent="0.25">
      <c r="A670" s="480"/>
      <c r="B670" s="481"/>
      <c r="C670" s="481"/>
      <c r="D670" s="481"/>
      <c r="E670" s="481"/>
      <c r="F670" s="481"/>
      <c r="G670" s="481"/>
      <c r="H670" s="481"/>
      <c r="I670" s="481"/>
      <c r="J670" s="482"/>
    </row>
    <row r="671" spans="1:10" x14ac:dyDescent="0.25">
      <c r="A671" s="480"/>
      <c r="B671" s="481"/>
      <c r="C671" s="481"/>
      <c r="D671" s="481"/>
      <c r="E671" s="481"/>
      <c r="F671" s="481"/>
      <c r="G671" s="481"/>
      <c r="H671" s="481"/>
      <c r="I671" s="481"/>
      <c r="J671" s="482"/>
    </row>
    <row r="672" spans="1:10" x14ac:dyDescent="0.25">
      <c r="A672" s="480"/>
      <c r="B672" s="481"/>
      <c r="C672" s="481"/>
      <c r="D672" s="481"/>
      <c r="E672" s="481"/>
      <c r="F672" s="481"/>
      <c r="G672" s="481"/>
      <c r="H672" s="481"/>
      <c r="I672" s="481"/>
      <c r="J672" s="482"/>
    </row>
    <row r="673" spans="1:10" x14ac:dyDescent="0.25">
      <c r="A673" s="480"/>
      <c r="B673" s="481"/>
      <c r="C673" s="481"/>
      <c r="D673" s="481"/>
      <c r="E673" s="481"/>
      <c r="F673" s="481"/>
      <c r="G673" s="481"/>
      <c r="H673" s="481"/>
      <c r="I673" s="481"/>
      <c r="J673" s="482"/>
    </row>
    <row r="674" spans="1:10" x14ac:dyDescent="0.25">
      <c r="A674" s="480"/>
      <c r="B674" s="481"/>
      <c r="C674" s="481"/>
      <c r="D674" s="481"/>
      <c r="E674" s="481"/>
      <c r="F674" s="481"/>
      <c r="G674" s="481"/>
      <c r="H674" s="481"/>
      <c r="I674" s="481"/>
      <c r="J674" s="482"/>
    </row>
    <row r="675" spans="1:10" x14ac:dyDescent="0.25">
      <c r="A675" s="480"/>
      <c r="B675" s="481"/>
      <c r="C675" s="481"/>
      <c r="D675" s="481"/>
      <c r="E675" s="481"/>
      <c r="F675" s="481"/>
      <c r="G675" s="481"/>
      <c r="H675" s="481"/>
      <c r="I675" s="481"/>
      <c r="J675" s="482"/>
    </row>
    <row r="676" spans="1:10" x14ac:dyDescent="0.25">
      <c r="A676" s="480"/>
      <c r="B676" s="481"/>
      <c r="C676" s="481"/>
      <c r="D676" s="481"/>
      <c r="E676" s="481"/>
      <c r="F676" s="481"/>
      <c r="G676" s="481"/>
      <c r="H676" s="481"/>
      <c r="I676" s="481"/>
      <c r="J676" s="482"/>
    </row>
    <row r="677" spans="1:10" x14ac:dyDescent="0.25">
      <c r="A677" s="480"/>
      <c r="B677" s="481"/>
      <c r="C677" s="481"/>
      <c r="D677" s="481"/>
      <c r="E677" s="481"/>
      <c r="F677" s="481"/>
      <c r="G677" s="481"/>
      <c r="H677" s="481"/>
      <c r="I677" s="481"/>
      <c r="J677" s="482"/>
    </row>
    <row r="678" spans="1:10" x14ac:dyDescent="0.25">
      <c r="A678" s="480"/>
      <c r="B678" s="481"/>
      <c r="C678" s="481"/>
      <c r="D678" s="481"/>
      <c r="E678" s="481"/>
      <c r="F678" s="481"/>
      <c r="G678" s="481"/>
      <c r="H678" s="481"/>
      <c r="I678" s="481"/>
      <c r="J678" s="482"/>
    </row>
    <row r="679" spans="1:10" x14ac:dyDescent="0.25">
      <c r="A679" s="480"/>
      <c r="B679" s="481"/>
      <c r="C679" s="481"/>
      <c r="D679" s="481"/>
      <c r="E679" s="481"/>
      <c r="F679" s="481"/>
      <c r="G679" s="481"/>
      <c r="H679" s="481"/>
      <c r="I679" s="481"/>
      <c r="J679" s="482"/>
    </row>
    <row r="680" spans="1:10" x14ac:dyDescent="0.25">
      <c r="A680" s="480"/>
      <c r="B680" s="481"/>
      <c r="C680" s="481"/>
      <c r="D680" s="481"/>
      <c r="E680" s="481"/>
      <c r="F680" s="481"/>
      <c r="G680" s="481"/>
      <c r="H680" s="481"/>
      <c r="I680" s="481"/>
      <c r="J680" s="482"/>
    </row>
    <row r="681" spans="1:10" x14ac:dyDescent="0.25">
      <c r="A681" s="480"/>
      <c r="B681" s="481"/>
      <c r="C681" s="481"/>
      <c r="D681" s="481"/>
      <c r="E681" s="481"/>
      <c r="F681" s="481"/>
      <c r="G681" s="481"/>
      <c r="H681" s="481"/>
      <c r="I681" s="481"/>
      <c r="J681" s="482"/>
    </row>
    <row r="682" spans="1:10" x14ac:dyDescent="0.25">
      <c r="A682" s="480"/>
      <c r="B682" s="481"/>
      <c r="C682" s="481"/>
      <c r="D682" s="481"/>
      <c r="E682" s="481"/>
      <c r="F682" s="481"/>
      <c r="G682" s="481"/>
      <c r="H682" s="481"/>
      <c r="I682" s="481"/>
      <c r="J682" s="482"/>
    </row>
    <row r="683" spans="1:10" x14ac:dyDescent="0.25">
      <c r="A683" s="480"/>
      <c r="B683" s="481"/>
      <c r="C683" s="481"/>
      <c r="D683" s="481"/>
      <c r="E683" s="481"/>
      <c r="F683" s="481"/>
      <c r="G683" s="481"/>
      <c r="H683" s="481"/>
      <c r="I683" s="481"/>
      <c r="J683" s="482"/>
    </row>
    <row r="684" spans="1:10" x14ac:dyDescent="0.25">
      <c r="A684" s="480"/>
      <c r="B684" s="481"/>
      <c r="C684" s="481"/>
      <c r="D684" s="481"/>
      <c r="E684" s="481"/>
      <c r="F684" s="481"/>
      <c r="G684" s="481"/>
      <c r="H684" s="481"/>
      <c r="I684" s="481"/>
      <c r="J684" s="482"/>
    </row>
    <row r="685" spans="1:10" x14ac:dyDescent="0.25">
      <c r="A685" s="480"/>
      <c r="B685" s="481"/>
      <c r="C685" s="481"/>
      <c r="D685" s="481"/>
      <c r="E685" s="481"/>
      <c r="F685" s="481"/>
      <c r="G685" s="481"/>
      <c r="H685" s="481"/>
      <c r="I685" s="481"/>
      <c r="J685" s="482"/>
    </row>
    <row r="686" spans="1:10" x14ac:dyDescent="0.25">
      <c r="A686" s="480"/>
      <c r="B686" s="481"/>
      <c r="C686" s="481"/>
      <c r="D686" s="481"/>
      <c r="E686" s="481"/>
      <c r="F686" s="481"/>
      <c r="G686" s="481"/>
      <c r="H686" s="481"/>
      <c r="I686" s="481"/>
      <c r="J686" s="482"/>
    </row>
    <row r="687" spans="1:10" x14ac:dyDescent="0.25">
      <c r="A687" s="480"/>
      <c r="B687" s="481"/>
      <c r="C687" s="481"/>
      <c r="D687" s="481"/>
      <c r="E687" s="481"/>
      <c r="F687" s="481"/>
      <c r="G687" s="481"/>
      <c r="H687" s="481"/>
      <c r="I687" s="481"/>
      <c r="J687" s="482"/>
    </row>
    <row r="688" spans="1:10" x14ac:dyDescent="0.25">
      <c r="A688" s="480"/>
      <c r="B688" s="481"/>
      <c r="C688" s="481"/>
      <c r="D688" s="481"/>
      <c r="E688" s="481"/>
      <c r="F688" s="481"/>
      <c r="G688" s="481"/>
      <c r="H688" s="481"/>
      <c r="I688" s="481"/>
      <c r="J688" s="482"/>
    </row>
    <row r="689" spans="1:10" x14ac:dyDescent="0.25">
      <c r="A689" s="480"/>
      <c r="B689" s="481"/>
      <c r="C689" s="481"/>
      <c r="D689" s="481"/>
      <c r="E689" s="481"/>
      <c r="F689" s="481"/>
      <c r="G689" s="481"/>
      <c r="H689" s="481"/>
      <c r="I689" s="481"/>
      <c r="J689" s="482"/>
    </row>
    <row r="690" spans="1:10" x14ac:dyDescent="0.25">
      <c r="A690" s="480"/>
      <c r="B690" s="481"/>
      <c r="C690" s="481"/>
      <c r="D690" s="481"/>
      <c r="E690" s="481"/>
      <c r="F690" s="481"/>
      <c r="G690" s="481"/>
      <c r="H690" s="481"/>
      <c r="I690" s="481"/>
      <c r="J690" s="482"/>
    </row>
    <row r="691" spans="1:10" x14ac:dyDescent="0.25">
      <c r="A691" s="480"/>
      <c r="B691" s="481"/>
      <c r="C691" s="481"/>
      <c r="D691" s="481"/>
      <c r="E691" s="481"/>
      <c r="F691" s="481"/>
      <c r="G691" s="481"/>
      <c r="H691" s="481"/>
      <c r="I691" s="481"/>
      <c r="J691" s="482"/>
    </row>
    <row r="692" spans="1:10" x14ac:dyDescent="0.25">
      <c r="A692" s="483"/>
      <c r="B692" s="484"/>
      <c r="C692" s="484"/>
      <c r="D692" s="484"/>
      <c r="E692" s="484"/>
      <c r="F692" s="484"/>
      <c r="G692" s="484"/>
      <c r="H692" s="484"/>
      <c r="I692" s="484"/>
      <c r="J692" s="485"/>
    </row>
    <row r="694" spans="1:10" ht="15.6" x14ac:dyDescent="0.3">
      <c r="A694" s="351" t="s">
        <v>848</v>
      </c>
      <c r="B694" s="352"/>
      <c r="C694" s="352"/>
      <c r="D694" s="352"/>
      <c r="E694" s="352"/>
      <c r="F694" s="352"/>
      <c r="G694" s="352"/>
      <c r="H694" s="349" t="str">
        <f>'CONTACT INFORMATION'!$A$24</f>
        <v>Fresno</v>
      </c>
      <c r="I694" s="349"/>
      <c r="J694" s="350"/>
    </row>
    <row r="695" spans="1:10" ht="8.1" customHeight="1" x14ac:dyDescent="0.25">
      <c r="A695" s="163"/>
      <c r="B695" s="163"/>
      <c r="C695" s="163"/>
      <c r="D695" s="163"/>
      <c r="E695" s="163"/>
      <c r="F695" s="163"/>
      <c r="G695" s="163"/>
      <c r="H695" s="163"/>
      <c r="I695" s="163"/>
      <c r="J695" s="163"/>
    </row>
    <row r="696" spans="1:10" ht="13.8" x14ac:dyDescent="0.25">
      <c r="A696" s="458" t="s">
        <v>865</v>
      </c>
      <c r="B696" s="459"/>
      <c r="C696" s="459"/>
      <c r="D696" s="459"/>
      <c r="E696" s="459"/>
      <c r="F696" s="459"/>
      <c r="G696" s="459"/>
      <c r="H696" s="459"/>
      <c r="I696" s="459"/>
      <c r="J696" s="460"/>
    </row>
    <row r="697" spans="1:10" x14ac:dyDescent="0.25">
      <c r="A697" s="455" t="s">
        <v>854</v>
      </c>
      <c r="B697" s="456"/>
      <c r="C697" s="456"/>
      <c r="D697" s="457"/>
      <c r="E697" s="527" t="s">
        <v>951</v>
      </c>
      <c r="F697" s="528"/>
      <c r="G697" s="528"/>
      <c r="H697" s="528"/>
      <c r="I697" s="528"/>
      <c r="J697" s="529"/>
    </row>
    <row r="698" spans="1:10" x14ac:dyDescent="0.25">
      <c r="A698" s="495" t="s">
        <v>853</v>
      </c>
      <c r="B698" s="496"/>
      <c r="C698" s="496"/>
      <c r="D698" s="497"/>
      <c r="E698" s="530"/>
      <c r="F698" s="531"/>
      <c r="G698" s="531"/>
      <c r="H698" s="531"/>
      <c r="I698" s="531"/>
      <c r="J698" s="532"/>
    </row>
    <row r="699" spans="1:10" x14ac:dyDescent="0.25">
      <c r="A699" s="524" t="s">
        <v>808</v>
      </c>
      <c r="B699" s="525"/>
      <c r="C699" s="525"/>
      <c r="D699" s="526"/>
      <c r="E699" s="471" t="s">
        <v>489</v>
      </c>
      <c r="F699" s="472"/>
      <c r="G699" s="472"/>
      <c r="H699" s="472"/>
      <c r="I699" s="472"/>
      <c r="J699" s="473"/>
    </row>
    <row r="700" spans="1:10" ht="27" customHeight="1" x14ac:dyDescent="0.25">
      <c r="A700" s="157"/>
      <c r="B700" s="208"/>
      <c r="C700" s="208"/>
      <c r="D700" s="208"/>
      <c r="E700" s="474" t="s">
        <v>535</v>
      </c>
      <c r="F700" s="475"/>
      <c r="G700" s="474" t="s">
        <v>533</v>
      </c>
      <c r="H700" s="475"/>
      <c r="I700" s="476" t="s">
        <v>849</v>
      </c>
      <c r="J700" s="477"/>
    </row>
    <row r="701" spans="1:10" x14ac:dyDescent="0.25">
      <c r="A701" s="441" t="s">
        <v>527</v>
      </c>
      <c r="B701" s="442"/>
      <c r="C701" s="442"/>
      <c r="D701" s="443"/>
      <c r="E701" s="449">
        <v>128602</v>
      </c>
      <c r="F701" s="449"/>
      <c r="G701" s="449"/>
      <c r="H701" s="449"/>
      <c r="I701" s="450"/>
      <c r="J701" s="450"/>
    </row>
    <row r="702" spans="1:10" x14ac:dyDescent="0.25">
      <c r="A702" s="445" t="s">
        <v>528</v>
      </c>
      <c r="B702" s="446"/>
      <c r="C702" s="446"/>
      <c r="D702" s="447"/>
      <c r="E702" s="432">
        <v>1130</v>
      </c>
      <c r="F702" s="432"/>
      <c r="G702" s="433"/>
      <c r="H702" s="433"/>
      <c r="I702" s="448"/>
      <c r="J702" s="448"/>
    </row>
    <row r="703" spans="1:10" x14ac:dyDescent="0.25">
      <c r="A703" s="441" t="s">
        <v>529</v>
      </c>
      <c r="B703" s="442"/>
      <c r="C703" s="442"/>
      <c r="D703" s="443"/>
      <c r="E703" s="449"/>
      <c r="F703" s="449"/>
      <c r="G703" s="449"/>
      <c r="H703" s="449"/>
      <c r="I703" s="450"/>
      <c r="J703" s="450"/>
    </row>
    <row r="704" spans="1:10" x14ac:dyDescent="0.25">
      <c r="A704" s="445" t="s">
        <v>530</v>
      </c>
      <c r="B704" s="446"/>
      <c r="C704" s="446"/>
      <c r="D704" s="447"/>
      <c r="E704" s="432"/>
      <c r="F704" s="432"/>
      <c r="G704" s="433"/>
      <c r="H704" s="433"/>
      <c r="I704" s="448"/>
      <c r="J704" s="448"/>
    </row>
    <row r="705" spans="1:10" x14ac:dyDescent="0.25">
      <c r="A705" s="441" t="s">
        <v>531</v>
      </c>
      <c r="B705" s="442"/>
      <c r="C705" s="442"/>
      <c r="D705" s="443"/>
      <c r="E705" s="449"/>
      <c r="F705" s="449"/>
      <c r="G705" s="449"/>
      <c r="H705" s="449"/>
      <c r="I705" s="450"/>
      <c r="J705" s="450"/>
    </row>
    <row r="706" spans="1:10" x14ac:dyDescent="0.25">
      <c r="A706" s="445" t="s">
        <v>532</v>
      </c>
      <c r="B706" s="446"/>
      <c r="C706" s="446"/>
      <c r="D706" s="447"/>
      <c r="E706" s="432">
        <v>649</v>
      </c>
      <c r="F706" s="432"/>
      <c r="G706" s="433"/>
      <c r="H706" s="433"/>
      <c r="I706" s="448"/>
      <c r="J706" s="448"/>
    </row>
    <row r="707" spans="1:10" x14ac:dyDescent="0.25">
      <c r="A707" s="441" t="s">
        <v>537</v>
      </c>
      <c r="B707" s="442"/>
      <c r="C707" s="442"/>
      <c r="D707" s="443"/>
      <c r="E707" s="444"/>
      <c r="F707" s="444"/>
      <c r="G707" s="444"/>
      <c r="H707" s="444"/>
      <c r="I707" s="438"/>
      <c r="J707" s="438"/>
    </row>
    <row r="708" spans="1:10" x14ac:dyDescent="0.25">
      <c r="A708" s="429"/>
      <c r="B708" s="430"/>
      <c r="C708" s="430"/>
      <c r="D708" s="431"/>
      <c r="E708" s="432"/>
      <c r="F708" s="432"/>
      <c r="G708" s="433"/>
      <c r="H708" s="433"/>
      <c r="I708" s="433"/>
      <c r="J708" s="433"/>
    </row>
    <row r="709" spans="1:10" x14ac:dyDescent="0.25">
      <c r="A709" s="429"/>
      <c r="B709" s="430"/>
      <c r="C709" s="430"/>
      <c r="D709" s="431"/>
      <c r="E709" s="432"/>
      <c r="F709" s="432"/>
      <c r="G709" s="433"/>
      <c r="H709" s="433"/>
      <c r="I709" s="433"/>
      <c r="J709" s="433"/>
    </row>
    <row r="710" spans="1:10" x14ac:dyDescent="0.25">
      <c r="A710" s="429"/>
      <c r="B710" s="430"/>
      <c r="C710" s="430"/>
      <c r="D710" s="431"/>
      <c r="E710" s="432"/>
      <c r="F710" s="432"/>
      <c r="G710" s="433"/>
      <c r="H710" s="433"/>
      <c r="I710" s="433"/>
      <c r="J710" s="433"/>
    </row>
    <row r="711" spans="1:10" x14ac:dyDescent="0.25">
      <c r="A711" s="434" t="s">
        <v>534</v>
      </c>
      <c r="B711" s="435"/>
      <c r="C711" s="435"/>
      <c r="D711" s="436"/>
      <c r="E711" s="437">
        <f>SUM(E701:E710)</f>
        <v>130381</v>
      </c>
      <c r="F711" s="437"/>
      <c r="G711" s="437">
        <f>SUM(G701:G710)</f>
        <v>0</v>
      </c>
      <c r="H711" s="437"/>
      <c r="I711" s="437">
        <f>SUM(I701:I710)</f>
        <v>0</v>
      </c>
      <c r="J711" s="437"/>
    </row>
    <row r="712" spans="1:10" x14ac:dyDescent="0.25">
      <c r="A712" s="486" t="s">
        <v>861</v>
      </c>
      <c r="B712" s="487"/>
      <c r="C712" s="487"/>
      <c r="D712" s="487"/>
      <c r="E712" s="487"/>
      <c r="F712" s="487"/>
      <c r="G712" s="487"/>
      <c r="H712" s="487"/>
      <c r="I712" s="487"/>
      <c r="J712" s="488"/>
    </row>
    <row r="713" spans="1:10" x14ac:dyDescent="0.25">
      <c r="A713" s="489" t="s">
        <v>862</v>
      </c>
      <c r="B713" s="490"/>
      <c r="C713" s="490"/>
      <c r="D713" s="490"/>
      <c r="E713" s="490"/>
      <c r="F713" s="490"/>
      <c r="G713" s="490"/>
      <c r="H713" s="490"/>
      <c r="I713" s="490"/>
      <c r="J713" s="491"/>
    </row>
    <row r="714" spans="1:10" x14ac:dyDescent="0.25">
      <c r="A714" s="489" t="s">
        <v>863</v>
      </c>
      <c r="B714" s="490"/>
      <c r="C714" s="490"/>
      <c r="D714" s="490"/>
      <c r="E714" s="490"/>
      <c r="F714" s="490"/>
      <c r="G714" s="490"/>
      <c r="H714" s="490"/>
      <c r="I714" s="490"/>
      <c r="J714" s="491"/>
    </row>
    <row r="715" spans="1:10" x14ac:dyDescent="0.25">
      <c r="A715" s="492" t="s">
        <v>864</v>
      </c>
      <c r="B715" s="493"/>
      <c r="C715" s="493"/>
      <c r="D715" s="493"/>
      <c r="E715" s="493"/>
      <c r="F715" s="493"/>
      <c r="G715" s="493"/>
      <c r="H715" s="493"/>
      <c r="I715" s="493"/>
      <c r="J715" s="494"/>
    </row>
    <row r="716" spans="1:10" x14ac:dyDescent="0.25">
      <c r="A716" s="300" t="s">
        <v>945</v>
      </c>
      <c r="B716" s="478"/>
      <c r="C716" s="478"/>
      <c r="D716" s="478"/>
      <c r="E716" s="478"/>
      <c r="F716" s="478"/>
      <c r="G716" s="478"/>
      <c r="H716" s="478"/>
      <c r="I716" s="478"/>
      <c r="J716" s="479"/>
    </row>
    <row r="717" spans="1:10" x14ac:dyDescent="0.25">
      <c r="A717" s="480"/>
      <c r="B717" s="481"/>
      <c r="C717" s="481"/>
      <c r="D717" s="481"/>
      <c r="E717" s="481"/>
      <c r="F717" s="481"/>
      <c r="G717" s="481"/>
      <c r="H717" s="481"/>
      <c r="I717" s="481"/>
      <c r="J717" s="482"/>
    </row>
    <row r="718" spans="1:10" x14ac:dyDescent="0.25">
      <c r="A718" s="480"/>
      <c r="B718" s="481"/>
      <c r="C718" s="481"/>
      <c r="D718" s="481"/>
      <c r="E718" s="481"/>
      <c r="F718" s="481"/>
      <c r="G718" s="481"/>
      <c r="H718" s="481"/>
      <c r="I718" s="481"/>
      <c r="J718" s="482"/>
    </row>
    <row r="719" spans="1:10" x14ac:dyDescent="0.25">
      <c r="A719" s="480"/>
      <c r="B719" s="481"/>
      <c r="C719" s="481"/>
      <c r="D719" s="481"/>
      <c r="E719" s="481"/>
      <c r="F719" s="481"/>
      <c r="G719" s="481"/>
      <c r="H719" s="481"/>
      <c r="I719" s="481"/>
      <c r="J719" s="482"/>
    </row>
    <row r="720" spans="1:10" x14ac:dyDescent="0.25">
      <c r="A720" s="480"/>
      <c r="B720" s="481"/>
      <c r="C720" s="481"/>
      <c r="D720" s="481"/>
      <c r="E720" s="481"/>
      <c r="F720" s="481"/>
      <c r="G720" s="481"/>
      <c r="H720" s="481"/>
      <c r="I720" s="481"/>
      <c r="J720" s="482"/>
    </row>
    <row r="721" spans="1:10" x14ac:dyDescent="0.25">
      <c r="A721" s="480"/>
      <c r="B721" s="481"/>
      <c r="C721" s="481"/>
      <c r="D721" s="481"/>
      <c r="E721" s="481"/>
      <c r="F721" s="481"/>
      <c r="G721" s="481"/>
      <c r="H721" s="481"/>
      <c r="I721" s="481"/>
      <c r="J721" s="482"/>
    </row>
    <row r="722" spans="1:10" x14ac:dyDescent="0.25">
      <c r="A722" s="480"/>
      <c r="B722" s="481"/>
      <c r="C722" s="481"/>
      <c r="D722" s="481"/>
      <c r="E722" s="481"/>
      <c r="F722" s="481"/>
      <c r="G722" s="481"/>
      <c r="H722" s="481"/>
      <c r="I722" s="481"/>
      <c r="J722" s="482"/>
    </row>
    <row r="723" spans="1:10" x14ac:dyDescent="0.25">
      <c r="A723" s="480"/>
      <c r="B723" s="481"/>
      <c r="C723" s="481"/>
      <c r="D723" s="481"/>
      <c r="E723" s="481"/>
      <c r="F723" s="481"/>
      <c r="G723" s="481"/>
      <c r="H723" s="481"/>
      <c r="I723" s="481"/>
      <c r="J723" s="482"/>
    </row>
    <row r="724" spans="1:10" x14ac:dyDescent="0.25">
      <c r="A724" s="480"/>
      <c r="B724" s="481"/>
      <c r="C724" s="481"/>
      <c r="D724" s="481"/>
      <c r="E724" s="481"/>
      <c r="F724" s="481"/>
      <c r="G724" s="481"/>
      <c r="H724" s="481"/>
      <c r="I724" s="481"/>
      <c r="J724" s="482"/>
    </row>
    <row r="725" spans="1:10" x14ac:dyDescent="0.25">
      <c r="A725" s="480"/>
      <c r="B725" s="481"/>
      <c r="C725" s="481"/>
      <c r="D725" s="481"/>
      <c r="E725" s="481"/>
      <c r="F725" s="481"/>
      <c r="G725" s="481"/>
      <c r="H725" s="481"/>
      <c r="I725" s="481"/>
      <c r="J725" s="482"/>
    </row>
    <row r="726" spans="1:10" x14ac:dyDescent="0.25">
      <c r="A726" s="480"/>
      <c r="B726" s="481"/>
      <c r="C726" s="481"/>
      <c r="D726" s="481"/>
      <c r="E726" s="481"/>
      <c r="F726" s="481"/>
      <c r="G726" s="481"/>
      <c r="H726" s="481"/>
      <c r="I726" s="481"/>
      <c r="J726" s="482"/>
    </row>
    <row r="727" spans="1:10" x14ac:dyDescent="0.25">
      <c r="A727" s="480"/>
      <c r="B727" s="481"/>
      <c r="C727" s="481"/>
      <c r="D727" s="481"/>
      <c r="E727" s="481"/>
      <c r="F727" s="481"/>
      <c r="G727" s="481"/>
      <c r="H727" s="481"/>
      <c r="I727" s="481"/>
      <c r="J727" s="482"/>
    </row>
    <row r="728" spans="1:10" x14ac:dyDescent="0.25">
      <c r="A728" s="480"/>
      <c r="B728" s="481"/>
      <c r="C728" s="481"/>
      <c r="D728" s="481"/>
      <c r="E728" s="481"/>
      <c r="F728" s="481"/>
      <c r="G728" s="481"/>
      <c r="H728" s="481"/>
      <c r="I728" s="481"/>
      <c r="J728" s="482"/>
    </row>
    <row r="729" spans="1:10" x14ac:dyDescent="0.25">
      <c r="A729" s="480"/>
      <c r="B729" s="481"/>
      <c r="C729" s="481"/>
      <c r="D729" s="481"/>
      <c r="E729" s="481"/>
      <c r="F729" s="481"/>
      <c r="G729" s="481"/>
      <c r="H729" s="481"/>
      <c r="I729" s="481"/>
      <c r="J729" s="482"/>
    </row>
    <row r="730" spans="1:10" x14ac:dyDescent="0.25">
      <c r="A730" s="480"/>
      <c r="B730" s="481"/>
      <c r="C730" s="481"/>
      <c r="D730" s="481"/>
      <c r="E730" s="481"/>
      <c r="F730" s="481"/>
      <c r="G730" s="481"/>
      <c r="H730" s="481"/>
      <c r="I730" s="481"/>
      <c r="J730" s="482"/>
    </row>
    <row r="731" spans="1:10" x14ac:dyDescent="0.25">
      <c r="A731" s="480"/>
      <c r="B731" s="481"/>
      <c r="C731" s="481"/>
      <c r="D731" s="481"/>
      <c r="E731" s="481"/>
      <c r="F731" s="481"/>
      <c r="G731" s="481"/>
      <c r="H731" s="481"/>
      <c r="I731" s="481"/>
      <c r="J731" s="482"/>
    </row>
    <row r="732" spans="1:10" x14ac:dyDescent="0.25">
      <c r="A732" s="480"/>
      <c r="B732" s="481"/>
      <c r="C732" s="481"/>
      <c r="D732" s="481"/>
      <c r="E732" s="481"/>
      <c r="F732" s="481"/>
      <c r="G732" s="481"/>
      <c r="H732" s="481"/>
      <c r="I732" s="481"/>
      <c r="J732" s="482"/>
    </row>
    <row r="733" spans="1:10" x14ac:dyDescent="0.25">
      <c r="A733" s="480"/>
      <c r="B733" s="481"/>
      <c r="C733" s="481"/>
      <c r="D733" s="481"/>
      <c r="E733" s="481"/>
      <c r="F733" s="481"/>
      <c r="G733" s="481"/>
      <c r="H733" s="481"/>
      <c r="I733" s="481"/>
      <c r="J733" s="482"/>
    </row>
    <row r="734" spans="1:10" x14ac:dyDescent="0.25">
      <c r="A734" s="480"/>
      <c r="B734" s="481"/>
      <c r="C734" s="481"/>
      <c r="D734" s="481"/>
      <c r="E734" s="481"/>
      <c r="F734" s="481"/>
      <c r="G734" s="481"/>
      <c r="H734" s="481"/>
      <c r="I734" s="481"/>
      <c r="J734" s="482"/>
    </row>
    <row r="735" spans="1:10" x14ac:dyDescent="0.25">
      <c r="A735" s="480"/>
      <c r="B735" s="481"/>
      <c r="C735" s="481"/>
      <c r="D735" s="481"/>
      <c r="E735" s="481"/>
      <c r="F735" s="481"/>
      <c r="G735" s="481"/>
      <c r="H735" s="481"/>
      <c r="I735" s="481"/>
      <c r="J735" s="482"/>
    </row>
    <row r="736" spans="1:10" x14ac:dyDescent="0.25">
      <c r="A736" s="480"/>
      <c r="B736" s="481"/>
      <c r="C736" s="481"/>
      <c r="D736" s="481"/>
      <c r="E736" s="481"/>
      <c r="F736" s="481"/>
      <c r="G736" s="481"/>
      <c r="H736" s="481"/>
      <c r="I736" s="481"/>
      <c r="J736" s="482"/>
    </row>
    <row r="737" spans="1:10" x14ac:dyDescent="0.25">
      <c r="A737" s="480"/>
      <c r="B737" s="481"/>
      <c r="C737" s="481"/>
      <c r="D737" s="481"/>
      <c r="E737" s="481"/>
      <c r="F737" s="481"/>
      <c r="G737" s="481"/>
      <c r="H737" s="481"/>
      <c r="I737" s="481"/>
      <c r="J737" s="482"/>
    </row>
    <row r="738" spans="1:10" x14ac:dyDescent="0.25">
      <c r="A738" s="480"/>
      <c r="B738" s="481"/>
      <c r="C738" s="481"/>
      <c r="D738" s="481"/>
      <c r="E738" s="481"/>
      <c r="F738" s="481"/>
      <c r="G738" s="481"/>
      <c r="H738" s="481"/>
      <c r="I738" s="481"/>
      <c r="J738" s="482"/>
    </row>
    <row r="739" spans="1:10" x14ac:dyDescent="0.25">
      <c r="A739" s="480"/>
      <c r="B739" s="481"/>
      <c r="C739" s="481"/>
      <c r="D739" s="481"/>
      <c r="E739" s="481"/>
      <c r="F739" s="481"/>
      <c r="G739" s="481"/>
      <c r="H739" s="481"/>
      <c r="I739" s="481"/>
      <c r="J739" s="482"/>
    </row>
    <row r="740" spans="1:10" x14ac:dyDescent="0.25">
      <c r="A740" s="480"/>
      <c r="B740" s="481"/>
      <c r="C740" s="481"/>
      <c r="D740" s="481"/>
      <c r="E740" s="481"/>
      <c r="F740" s="481"/>
      <c r="G740" s="481"/>
      <c r="H740" s="481"/>
      <c r="I740" s="481"/>
      <c r="J740" s="482"/>
    </row>
    <row r="741" spans="1:10" x14ac:dyDescent="0.25">
      <c r="A741" s="480"/>
      <c r="B741" s="481"/>
      <c r="C741" s="481"/>
      <c r="D741" s="481"/>
      <c r="E741" s="481"/>
      <c r="F741" s="481"/>
      <c r="G741" s="481"/>
      <c r="H741" s="481"/>
      <c r="I741" s="481"/>
      <c r="J741" s="482"/>
    </row>
    <row r="742" spans="1:10" x14ac:dyDescent="0.25">
      <c r="A742" s="480"/>
      <c r="B742" s="481"/>
      <c r="C742" s="481"/>
      <c r="D742" s="481"/>
      <c r="E742" s="481"/>
      <c r="F742" s="481"/>
      <c r="G742" s="481"/>
      <c r="H742" s="481"/>
      <c r="I742" s="481"/>
      <c r="J742" s="482"/>
    </row>
    <row r="743" spans="1:10" x14ac:dyDescent="0.25">
      <c r="A743" s="480"/>
      <c r="B743" s="481"/>
      <c r="C743" s="481"/>
      <c r="D743" s="481"/>
      <c r="E743" s="481"/>
      <c r="F743" s="481"/>
      <c r="G743" s="481"/>
      <c r="H743" s="481"/>
      <c r="I743" s="481"/>
      <c r="J743" s="482"/>
    </row>
    <row r="744" spans="1:10" x14ac:dyDescent="0.25">
      <c r="A744" s="480"/>
      <c r="B744" s="481"/>
      <c r="C744" s="481"/>
      <c r="D744" s="481"/>
      <c r="E744" s="481"/>
      <c r="F744" s="481"/>
      <c r="G744" s="481"/>
      <c r="H744" s="481"/>
      <c r="I744" s="481"/>
      <c r="J744" s="482"/>
    </row>
    <row r="745" spans="1:10" x14ac:dyDescent="0.25">
      <c r="A745" s="480"/>
      <c r="B745" s="481"/>
      <c r="C745" s="481"/>
      <c r="D745" s="481"/>
      <c r="E745" s="481"/>
      <c r="F745" s="481"/>
      <c r="G745" s="481"/>
      <c r="H745" s="481"/>
      <c r="I745" s="481"/>
      <c r="J745" s="482"/>
    </row>
    <row r="746" spans="1:10" x14ac:dyDescent="0.25">
      <c r="A746" s="480"/>
      <c r="B746" s="481"/>
      <c r="C746" s="481"/>
      <c r="D746" s="481"/>
      <c r="E746" s="481"/>
      <c r="F746" s="481"/>
      <c r="G746" s="481"/>
      <c r="H746" s="481"/>
      <c r="I746" s="481"/>
      <c r="J746" s="482"/>
    </row>
    <row r="747" spans="1:10" x14ac:dyDescent="0.25">
      <c r="A747" s="480"/>
      <c r="B747" s="481"/>
      <c r="C747" s="481"/>
      <c r="D747" s="481"/>
      <c r="E747" s="481"/>
      <c r="F747" s="481"/>
      <c r="G747" s="481"/>
      <c r="H747" s="481"/>
      <c r="I747" s="481"/>
      <c r="J747" s="482"/>
    </row>
    <row r="748" spans="1:10" x14ac:dyDescent="0.25">
      <c r="A748" s="480"/>
      <c r="B748" s="481"/>
      <c r="C748" s="481"/>
      <c r="D748" s="481"/>
      <c r="E748" s="481"/>
      <c r="F748" s="481"/>
      <c r="G748" s="481"/>
      <c r="H748" s="481"/>
      <c r="I748" s="481"/>
      <c r="J748" s="482"/>
    </row>
    <row r="749" spans="1:10" x14ac:dyDescent="0.25">
      <c r="A749" s="480"/>
      <c r="B749" s="481"/>
      <c r="C749" s="481"/>
      <c r="D749" s="481"/>
      <c r="E749" s="481"/>
      <c r="F749" s="481"/>
      <c r="G749" s="481"/>
      <c r="H749" s="481"/>
      <c r="I749" s="481"/>
      <c r="J749" s="482"/>
    </row>
    <row r="750" spans="1:10" x14ac:dyDescent="0.25">
      <c r="A750" s="483"/>
      <c r="B750" s="484"/>
      <c r="C750" s="484"/>
      <c r="D750" s="484"/>
      <c r="E750" s="484"/>
      <c r="F750" s="484"/>
      <c r="G750" s="484"/>
      <c r="H750" s="484"/>
      <c r="I750" s="484"/>
      <c r="J750" s="485"/>
    </row>
    <row r="752" spans="1:10" ht="15.6" x14ac:dyDescent="0.3">
      <c r="A752" s="351" t="s">
        <v>848</v>
      </c>
      <c r="B752" s="352"/>
      <c r="C752" s="352"/>
      <c r="D752" s="352"/>
      <c r="E752" s="352"/>
      <c r="F752" s="352"/>
      <c r="G752" s="352"/>
      <c r="H752" s="349" t="str">
        <f>'CONTACT INFORMATION'!$A$24</f>
        <v>Fresno</v>
      </c>
      <c r="I752" s="349"/>
      <c r="J752" s="350"/>
    </row>
    <row r="753" spans="1:10" ht="8.1" customHeight="1" x14ac:dyDescent="0.25">
      <c r="A753" s="163"/>
      <c r="B753" s="163"/>
      <c r="C753" s="163"/>
      <c r="D753" s="163"/>
      <c r="E753" s="163"/>
      <c r="F753" s="163"/>
      <c r="G753" s="163"/>
      <c r="H753" s="163"/>
      <c r="I753" s="163"/>
      <c r="J753" s="163"/>
    </row>
    <row r="754" spans="1:10" ht="13.8" x14ac:dyDescent="0.25">
      <c r="A754" s="458" t="s">
        <v>866</v>
      </c>
      <c r="B754" s="459"/>
      <c r="C754" s="459"/>
      <c r="D754" s="459"/>
      <c r="E754" s="459"/>
      <c r="F754" s="459"/>
      <c r="G754" s="459"/>
      <c r="H754" s="459"/>
      <c r="I754" s="459"/>
      <c r="J754" s="460"/>
    </row>
    <row r="755" spans="1:10" x14ac:dyDescent="0.25">
      <c r="A755" s="455" t="s">
        <v>854</v>
      </c>
      <c r="B755" s="456"/>
      <c r="C755" s="456"/>
      <c r="D755" s="457"/>
      <c r="E755" s="527" t="s">
        <v>936</v>
      </c>
      <c r="F755" s="528"/>
      <c r="G755" s="528"/>
      <c r="H755" s="528"/>
      <c r="I755" s="528"/>
      <c r="J755" s="529"/>
    </row>
    <row r="756" spans="1:10" x14ac:dyDescent="0.25">
      <c r="A756" s="495" t="s">
        <v>853</v>
      </c>
      <c r="B756" s="496"/>
      <c r="C756" s="496"/>
      <c r="D756" s="497"/>
      <c r="E756" s="530"/>
      <c r="F756" s="531"/>
      <c r="G756" s="531"/>
      <c r="H756" s="531"/>
      <c r="I756" s="531"/>
      <c r="J756" s="532"/>
    </row>
    <row r="757" spans="1:10" x14ac:dyDescent="0.25">
      <c r="A757" s="524" t="s">
        <v>808</v>
      </c>
      <c r="B757" s="525"/>
      <c r="C757" s="525"/>
      <c r="D757" s="526"/>
      <c r="E757" s="471" t="s">
        <v>517</v>
      </c>
      <c r="F757" s="472"/>
      <c r="G757" s="472"/>
      <c r="H757" s="472"/>
      <c r="I757" s="472"/>
      <c r="J757" s="473"/>
    </row>
    <row r="758" spans="1:10" ht="27" customHeight="1" x14ac:dyDescent="0.25">
      <c r="A758" s="157"/>
      <c r="B758" s="208"/>
      <c r="C758" s="208"/>
      <c r="D758" s="208"/>
      <c r="E758" s="474" t="s">
        <v>535</v>
      </c>
      <c r="F758" s="475"/>
      <c r="G758" s="474" t="s">
        <v>533</v>
      </c>
      <c r="H758" s="475"/>
      <c r="I758" s="476" t="s">
        <v>849</v>
      </c>
      <c r="J758" s="477"/>
    </row>
    <row r="759" spans="1:10" x14ac:dyDescent="0.25">
      <c r="A759" s="441" t="s">
        <v>527</v>
      </c>
      <c r="B759" s="442"/>
      <c r="C759" s="442"/>
      <c r="D759" s="443"/>
      <c r="E759" s="449">
        <v>187647</v>
      </c>
      <c r="F759" s="449"/>
      <c r="G759" s="449"/>
      <c r="H759" s="449"/>
      <c r="I759" s="450"/>
      <c r="J759" s="450"/>
    </row>
    <row r="760" spans="1:10" x14ac:dyDescent="0.25">
      <c r="A760" s="445" t="s">
        <v>528</v>
      </c>
      <c r="B760" s="446"/>
      <c r="C760" s="446"/>
      <c r="D760" s="447"/>
      <c r="E760" s="432">
        <v>2260</v>
      </c>
      <c r="F760" s="432"/>
      <c r="G760" s="433"/>
      <c r="H760" s="433"/>
      <c r="I760" s="448"/>
      <c r="J760" s="448"/>
    </row>
    <row r="761" spans="1:10" x14ac:dyDescent="0.25">
      <c r="A761" s="441" t="s">
        <v>529</v>
      </c>
      <c r="B761" s="442"/>
      <c r="C761" s="442"/>
      <c r="D761" s="443"/>
      <c r="E761" s="449"/>
      <c r="F761" s="449"/>
      <c r="G761" s="449"/>
      <c r="H761" s="449"/>
      <c r="I761" s="450"/>
      <c r="J761" s="450"/>
    </row>
    <row r="762" spans="1:10" x14ac:dyDescent="0.25">
      <c r="A762" s="445" t="s">
        <v>530</v>
      </c>
      <c r="B762" s="446"/>
      <c r="C762" s="446"/>
      <c r="D762" s="447"/>
      <c r="E762" s="432"/>
      <c r="F762" s="432"/>
      <c r="G762" s="433"/>
      <c r="H762" s="433"/>
      <c r="I762" s="448"/>
      <c r="J762" s="448"/>
    </row>
    <row r="763" spans="1:10" x14ac:dyDescent="0.25">
      <c r="A763" s="441" t="s">
        <v>531</v>
      </c>
      <c r="B763" s="442"/>
      <c r="C763" s="442"/>
      <c r="D763" s="443"/>
      <c r="E763" s="449"/>
      <c r="F763" s="449"/>
      <c r="G763" s="449"/>
      <c r="H763" s="449"/>
      <c r="I763" s="450"/>
      <c r="J763" s="450"/>
    </row>
    <row r="764" spans="1:10" x14ac:dyDescent="0.25">
      <c r="A764" s="445" t="s">
        <v>532</v>
      </c>
      <c r="B764" s="446"/>
      <c r="C764" s="446"/>
      <c r="D764" s="447"/>
      <c r="E764" s="432">
        <v>950</v>
      </c>
      <c r="F764" s="432"/>
      <c r="G764" s="433"/>
      <c r="H764" s="433"/>
      <c r="I764" s="448"/>
      <c r="J764" s="448"/>
    </row>
    <row r="765" spans="1:10" x14ac:dyDescent="0.25">
      <c r="A765" s="441" t="s">
        <v>537</v>
      </c>
      <c r="B765" s="442"/>
      <c r="C765" s="442"/>
      <c r="D765" s="443"/>
      <c r="E765" s="444"/>
      <c r="F765" s="444"/>
      <c r="G765" s="444"/>
      <c r="H765" s="444"/>
      <c r="I765" s="438"/>
      <c r="J765" s="438"/>
    </row>
    <row r="766" spans="1:10" x14ac:dyDescent="0.25">
      <c r="A766" s="429"/>
      <c r="B766" s="430"/>
      <c r="C766" s="430"/>
      <c r="D766" s="431"/>
      <c r="E766" s="432"/>
      <c r="F766" s="432"/>
      <c r="G766" s="433"/>
      <c r="H766" s="433"/>
      <c r="I766" s="433"/>
      <c r="J766" s="433"/>
    </row>
    <row r="767" spans="1:10" x14ac:dyDescent="0.25">
      <c r="A767" s="429"/>
      <c r="B767" s="430"/>
      <c r="C767" s="430"/>
      <c r="D767" s="431"/>
      <c r="E767" s="432"/>
      <c r="F767" s="432"/>
      <c r="G767" s="433"/>
      <c r="H767" s="433"/>
      <c r="I767" s="433"/>
      <c r="J767" s="433"/>
    </row>
    <row r="768" spans="1:10" x14ac:dyDescent="0.25">
      <c r="A768" s="429"/>
      <c r="B768" s="430"/>
      <c r="C768" s="430"/>
      <c r="D768" s="431"/>
      <c r="E768" s="432"/>
      <c r="F768" s="432"/>
      <c r="G768" s="433"/>
      <c r="H768" s="433"/>
      <c r="I768" s="433"/>
      <c r="J768" s="433"/>
    </row>
    <row r="769" spans="1:10" x14ac:dyDescent="0.25">
      <c r="A769" s="434" t="s">
        <v>534</v>
      </c>
      <c r="B769" s="435"/>
      <c r="C769" s="435"/>
      <c r="D769" s="436"/>
      <c r="E769" s="437">
        <f>SUM(E759:E768)</f>
        <v>190857</v>
      </c>
      <c r="F769" s="437"/>
      <c r="G769" s="437">
        <f>SUM(G759:G768)</f>
        <v>0</v>
      </c>
      <c r="H769" s="437"/>
      <c r="I769" s="437">
        <f>SUM(I759:I768)</f>
        <v>0</v>
      </c>
      <c r="J769" s="437"/>
    </row>
    <row r="770" spans="1:10" x14ac:dyDescent="0.25">
      <c r="A770" s="486" t="s">
        <v>861</v>
      </c>
      <c r="B770" s="487"/>
      <c r="C770" s="487"/>
      <c r="D770" s="487"/>
      <c r="E770" s="487"/>
      <c r="F770" s="487"/>
      <c r="G770" s="487"/>
      <c r="H770" s="487"/>
      <c r="I770" s="487"/>
      <c r="J770" s="488"/>
    </row>
    <row r="771" spans="1:10" x14ac:dyDescent="0.25">
      <c r="A771" s="489" t="s">
        <v>862</v>
      </c>
      <c r="B771" s="490"/>
      <c r="C771" s="490"/>
      <c r="D771" s="490"/>
      <c r="E771" s="490"/>
      <c r="F771" s="490"/>
      <c r="G771" s="490"/>
      <c r="H771" s="490"/>
      <c r="I771" s="490"/>
      <c r="J771" s="491"/>
    </row>
    <row r="772" spans="1:10" x14ac:dyDescent="0.25">
      <c r="A772" s="489" t="s">
        <v>863</v>
      </c>
      <c r="B772" s="490"/>
      <c r="C772" s="490"/>
      <c r="D772" s="490"/>
      <c r="E772" s="490"/>
      <c r="F772" s="490"/>
      <c r="G772" s="490"/>
      <c r="H772" s="490"/>
      <c r="I772" s="490"/>
      <c r="J772" s="491"/>
    </row>
    <row r="773" spans="1:10" x14ac:dyDescent="0.25">
      <c r="A773" s="492" t="s">
        <v>864</v>
      </c>
      <c r="B773" s="493"/>
      <c r="C773" s="493"/>
      <c r="D773" s="493"/>
      <c r="E773" s="493"/>
      <c r="F773" s="493"/>
      <c r="G773" s="493"/>
      <c r="H773" s="493"/>
      <c r="I773" s="493"/>
      <c r="J773" s="494"/>
    </row>
    <row r="774" spans="1:10" x14ac:dyDescent="0.25">
      <c r="A774" s="300" t="s">
        <v>953</v>
      </c>
      <c r="B774" s="478"/>
      <c r="C774" s="478"/>
      <c r="D774" s="478"/>
      <c r="E774" s="478"/>
      <c r="F774" s="478"/>
      <c r="G774" s="478"/>
      <c r="H774" s="478"/>
      <c r="I774" s="478"/>
      <c r="J774" s="479"/>
    </row>
    <row r="775" spans="1:10" x14ac:dyDescent="0.25">
      <c r="A775" s="480"/>
      <c r="B775" s="481"/>
      <c r="C775" s="481"/>
      <c r="D775" s="481"/>
      <c r="E775" s="481"/>
      <c r="F775" s="481"/>
      <c r="G775" s="481"/>
      <c r="H775" s="481"/>
      <c r="I775" s="481"/>
      <c r="J775" s="482"/>
    </row>
    <row r="776" spans="1:10" x14ac:dyDescent="0.25">
      <c r="A776" s="480"/>
      <c r="B776" s="481"/>
      <c r="C776" s="481"/>
      <c r="D776" s="481"/>
      <c r="E776" s="481"/>
      <c r="F776" s="481"/>
      <c r="G776" s="481"/>
      <c r="H776" s="481"/>
      <c r="I776" s="481"/>
      <c r="J776" s="482"/>
    </row>
    <row r="777" spans="1:10" x14ac:dyDescent="0.25">
      <c r="A777" s="480"/>
      <c r="B777" s="481"/>
      <c r="C777" s="481"/>
      <c r="D777" s="481"/>
      <c r="E777" s="481"/>
      <c r="F777" s="481"/>
      <c r="G777" s="481"/>
      <c r="H777" s="481"/>
      <c r="I777" s="481"/>
      <c r="J777" s="482"/>
    </row>
    <row r="778" spans="1:10" x14ac:dyDescent="0.25">
      <c r="A778" s="480"/>
      <c r="B778" s="481"/>
      <c r="C778" s="481"/>
      <c r="D778" s="481"/>
      <c r="E778" s="481"/>
      <c r="F778" s="481"/>
      <c r="G778" s="481"/>
      <c r="H778" s="481"/>
      <c r="I778" s="481"/>
      <c r="J778" s="482"/>
    </row>
    <row r="779" spans="1:10" x14ac:dyDescent="0.25">
      <c r="A779" s="480"/>
      <c r="B779" s="481"/>
      <c r="C779" s="481"/>
      <c r="D779" s="481"/>
      <c r="E779" s="481"/>
      <c r="F779" s="481"/>
      <c r="G779" s="481"/>
      <c r="H779" s="481"/>
      <c r="I779" s="481"/>
      <c r="J779" s="482"/>
    </row>
    <row r="780" spans="1:10" x14ac:dyDescent="0.25">
      <c r="A780" s="480"/>
      <c r="B780" s="481"/>
      <c r="C780" s="481"/>
      <c r="D780" s="481"/>
      <c r="E780" s="481"/>
      <c r="F780" s="481"/>
      <c r="G780" s="481"/>
      <c r="H780" s="481"/>
      <c r="I780" s="481"/>
      <c r="J780" s="482"/>
    </row>
    <row r="781" spans="1:10" x14ac:dyDescent="0.25">
      <c r="A781" s="480"/>
      <c r="B781" s="481"/>
      <c r="C781" s="481"/>
      <c r="D781" s="481"/>
      <c r="E781" s="481"/>
      <c r="F781" s="481"/>
      <c r="G781" s="481"/>
      <c r="H781" s="481"/>
      <c r="I781" s="481"/>
      <c r="J781" s="482"/>
    </row>
    <row r="782" spans="1:10" x14ac:dyDescent="0.25">
      <c r="A782" s="480"/>
      <c r="B782" s="481"/>
      <c r="C782" s="481"/>
      <c r="D782" s="481"/>
      <c r="E782" s="481"/>
      <c r="F782" s="481"/>
      <c r="G782" s="481"/>
      <c r="H782" s="481"/>
      <c r="I782" s="481"/>
      <c r="J782" s="482"/>
    </row>
    <row r="783" spans="1:10" x14ac:dyDescent="0.25">
      <c r="A783" s="480"/>
      <c r="B783" s="481"/>
      <c r="C783" s="481"/>
      <c r="D783" s="481"/>
      <c r="E783" s="481"/>
      <c r="F783" s="481"/>
      <c r="G783" s="481"/>
      <c r="H783" s="481"/>
      <c r="I783" s="481"/>
      <c r="J783" s="482"/>
    </row>
    <row r="784" spans="1:10" x14ac:dyDescent="0.25">
      <c r="A784" s="480"/>
      <c r="B784" s="481"/>
      <c r="C784" s="481"/>
      <c r="D784" s="481"/>
      <c r="E784" s="481"/>
      <c r="F784" s="481"/>
      <c r="G784" s="481"/>
      <c r="H784" s="481"/>
      <c r="I784" s="481"/>
      <c r="J784" s="482"/>
    </row>
    <row r="785" spans="1:10" x14ac:dyDescent="0.25">
      <c r="A785" s="480"/>
      <c r="B785" s="481"/>
      <c r="C785" s="481"/>
      <c r="D785" s="481"/>
      <c r="E785" s="481"/>
      <c r="F785" s="481"/>
      <c r="G785" s="481"/>
      <c r="H785" s="481"/>
      <c r="I785" s="481"/>
      <c r="J785" s="482"/>
    </row>
    <row r="786" spans="1:10" x14ac:dyDescent="0.25">
      <c r="A786" s="480"/>
      <c r="B786" s="481"/>
      <c r="C786" s="481"/>
      <c r="D786" s="481"/>
      <c r="E786" s="481"/>
      <c r="F786" s="481"/>
      <c r="G786" s="481"/>
      <c r="H786" s="481"/>
      <c r="I786" s="481"/>
      <c r="J786" s="482"/>
    </row>
    <row r="787" spans="1:10" x14ac:dyDescent="0.25">
      <c r="A787" s="480"/>
      <c r="B787" s="481"/>
      <c r="C787" s="481"/>
      <c r="D787" s="481"/>
      <c r="E787" s="481"/>
      <c r="F787" s="481"/>
      <c r="G787" s="481"/>
      <c r="H787" s="481"/>
      <c r="I787" s="481"/>
      <c r="J787" s="482"/>
    </row>
    <row r="788" spans="1:10" x14ac:dyDescent="0.25">
      <c r="A788" s="480"/>
      <c r="B788" s="481"/>
      <c r="C788" s="481"/>
      <c r="D788" s="481"/>
      <c r="E788" s="481"/>
      <c r="F788" s="481"/>
      <c r="G788" s="481"/>
      <c r="H788" s="481"/>
      <c r="I788" s="481"/>
      <c r="J788" s="482"/>
    </row>
    <row r="789" spans="1:10" x14ac:dyDescent="0.25">
      <c r="A789" s="480"/>
      <c r="B789" s="481"/>
      <c r="C789" s="481"/>
      <c r="D789" s="481"/>
      <c r="E789" s="481"/>
      <c r="F789" s="481"/>
      <c r="G789" s="481"/>
      <c r="H789" s="481"/>
      <c r="I789" s="481"/>
      <c r="J789" s="482"/>
    </row>
    <row r="790" spans="1:10" x14ac:dyDescent="0.25">
      <c r="A790" s="480"/>
      <c r="B790" s="481"/>
      <c r="C790" s="481"/>
      <c r="D790" s="481"/>
      <c r="E790" s="481"/>
      <c r="F790" s="481"/>
      <c r="G790" s="481"/>
      <c r="H790" s="481"/>
      <c r="I790" s="481"/>
      <c r="J790" s="482"/>
    </row>
    <row r="791" spans="1:10" x14ac:dyDescent="0.25">
      <c r="A791" s="480"/>
      <c r="B791" s="481"/>
      <c r="C791" s="481"/>
      <c r="D791" s="481"/>
      <c r="E791" s="481"/>
      <c r="F791" s="481"/>
      <c r="G791" s="481"/>
      <c r="H791" s="481"/>
      <c r="I791" s="481"/>
      <c r="J791" s="482"/>
    </row>
    <row r="792" spans="1:10" x14ac:dyDescent="0.25">
      <c r="A792" s="480"/>
      <c r="B792" s="481"/>
      <c r="C792" s="481"/>
      <c r="D792" s="481"/>
      <c r="E792" s="481"/>
      <c r="F792" s="481"/>
      <c r="G792" s="481"/>
      <c r="H792" s="481"/>
      <c r="I792" s="481"/>
      <c r="J792" s="482"/>
    </row>
    <row r="793" spans="1:10" x14ac:dyDescent="0.25">
      <c r="A793" s="480"/>
      <c r="B793" s="481"/>
      <c r="C793" s="481"/>
      <c r="D793" s="481"/>
      <c r="E793" s="481"/>
      <c r="F793" s="481"/>
      <c r="G793" s="481"/>
      <c r="H793" s="481"/>
      <c r="I793" s="481"/>
      <c r="J793" s="482"/>
    </row>
    <row r="794" spans="1:10" x14ac:dyDescent="0.25">
      <c r="A794" s="480"/>
      <c r="B794" s="481"/>
      <c r="C794" s="481"/>
      <c r="D794" s="481"/>
      <c r="E794" s="481"/>
      <c r="F794" s="481"/>
      <c r="G794" s="481"/>
      <c r="H794" s="481"/>
      <c r="I794" s="481"/>
      <c r="J794" s="482"/>
    </row>
    <row r="795" spans="1:10" x14ac:dyDescent="0.25">
      <c r="A795" s="480"/>
      <c r="B795" s="481"/>
      <c r="C795" s="481"/>
      <c r="D795" s="481"/>
      <c r="E795" s="481"/>
      <c r="F795" s="481"/>
      <c r="G795" s="481"/>
      <c r="H795" s="481"/>
      <c r="I795" s="481"/>
      <c r="J795" s="482"/>
    </row>
    <row r="796" spans="1:10" x14ac:dyDescent="0.25">
      <c r="A796" s="480"/>
      <c r="B796" s="481"/>
      <c r="C796" s="481"/>
      <c r="D796" s="481"/>
      <c r="E796" s="481"/>
      <c r="F796" s="481"/>
      <c r="G796" s="481"/>
      <c r="H796" s="481"/>
      <c r="I796" s="481"/>
      <c r="J796" s="482"/>
    </row>
    <row r="797" spans="1:10" x14ac:dyDescent="0.25">
      <c r="A797" s="480"/>
      <c r="B797" s="481"/>
      <c r="C797" s="481"/>
      <c r="D797" s="481"/>
      <c r="E797" s="481"/>
      <c r="F797" s="481"/>
      <c r="G797" s="481"/>
      <c r="H797" s="481"/>
      <c r="I797" s="481"/>
      <c r="J797" s="482"/>
    </row>
    <row r="798" spans="1:10" x14ac:dyDescent="0.25">
      <c r="A798" s="480"/>
      <c r="B798" s="481"/>
      <c r="C798" s="481"/>
      <c r="D798" s="481"/>
      <c r="E798" s="481"/>
      <c r="F798" s="481"/>
      <c r="G798" s="481"/>
      <c r="H798" s="481"/>
      <c r="I798" s="481"/>
      <c r="J798" s="482"/>
    </row>
    <row r="799" spans="1:10" x14ac:dyDescent="0.25">
      <c r="A799" s="480"/>
      <c r="B799" s="481"/>
      <c r="C799" s="481"/>
      <c r="D799" s="481"/>
      <c r="E799" s="481"/>
      <c r="F799" s="481"/>
      <c r="G799" s="481"/>
      <c r="H799" s="481"/>
      <c r="I799" s="481"/>
      <c r="J799" s="482"/>
    </row>
    <row r="800" spans="1:10" x14ac:dyDescent="0.25">
      <c r="A800" s="480"/>
      <c r="B800" s="481"/>
      <c r="C800" s="481"/>
      <c r="D800" s="481"/>
      <c r="E800" s="481"/>
      <c r="F800" s="481"/>
      <c r="G800" s="481"/>
      <c r="H800" s="481"/>
      <c r="I800" s="481"/>
      <c r="J800" s="482"/>
    </row>
    <row r="801" spans="1:10" x14ac:dyDescent="0.25">
      <c r="A801" s="480"/>
      <c r="B801" s="481"/>
      <c r="C801" s="481"/>
      <c r="D801" s="481"/>
      <c r="E801" s="481"/>
      <c r="F801" s="481"/>
      <c r="G801" s="481"/>
      <c r="H801" s="481"/>
      <c r="I801" s="481"/>
      <c r="J801" s="482"/>
    </row>
    <row r="802" spans="1:10" x14ac:dyDescent="0.25">
      <c r="A802" s="480"/>
      <c r="B802" s="481"/>
      <c r="C802" s="481"/>
      <c r="D802" s="481"/>
      <c r="E802" s="481"/>
      <c r="F802" s="481"/>
      <c r="G802" s="481"/>
      <c r="H802" s="481"/>
      <c r="I802" s="481"/>
      <c r="J802" s="482"/>
    </row>
    <row r="803" spans="1:10" x14ac:dyDescent="0.25">
      <c r="A803" s="480"/>
      <c r="B803" s="481"/>
      <c r="C803" s="481"/>
      <c r="D803" s="481"/>
      <c r="E803" s="481"/>
      <c r="F803" s="481"/>
      <c r="G803" s="481"/>
      <c r="H803" s="481"/>
      <c r="I803" s="481"/>
      <c r="J803" s="482"/>
    </row>
    <row r="804" spans="1:10" x14ac:dyDescent="0.25">
      <c r="A804" s="480"/>
      <c r="B804" s="481"/>
      <c r="C804" s="481"/>
      <c r="D804" s="481"/>
      <c r="E804" s="481"/>
      <c r="F804" s="481"/>
      <c r="G804" s="481"/>
      <c r="H804" s="481"/>
      <c r="I804" s="481"/>
      <c r="J804" s="482"/>
    </row>
    <row r="805" spans="1:10" x14ac:dyDescent="0.25">
      <c r="A805" s="480"/>
      <c r="B805" s="481"/>
      <c r="C805" s="481"/>
      <c r="D805" s="481"/>
      <c r="E805" s="481"/>
      <c r="F805" s="481"/>
      <c r="G805" s="481"/>
      <c r="H805" s="481"/>
      <c r="I805" s="481"/>
      <c r="J805" s="482"/>
    </row>
    <row r="806" spans="1:10" x14ac:dyDescent="0.25">
      <c r="A806" s="480"/>
      <c r="B806" s="481"/>
      <c r="C806" s="481"/>
      <c r="D806" s="481"/>
      <c r="E806" s="481"/>
      <c r="F806" s="481"/>
      <c r="G806" s="481"/>
      <c r="H806" s="481"/>
      <c r="I806" s="481"/>
      <c r="J806" s="482"/>
    </row>
    <row r="807" spans="1:10" x14ac:dyDescent="0.25">
      <c r="A807" s="480"/>
      <c r="B807" s="481"/>
      <c r="C807" s="481"/>
      <c r="D807" s="481"/>
      <c r="E807" s="481"/>
      <c r="F807" s="481"/>
      <c r="G807" s="481"/>
      <c r="H807" s="481"/>
      <c r="I807" s="481"/>
      <c r="J807" s="482"/>
    </row>
    <row r="808" spans="1:10" x14ac:dyDescent="0.25">
      <c r="A808" s="483"/>
      <c r="B808" s="484"/>
      <c r="C808" s="484"/>
      <c r="D808" s="484"/>
      <c r="E808" s="484"/>
      <c r="F808" s="484"/>
      <c r="G808" s="484"/>
      <c r="H808" s="484"/>
      <c r="I808" s="484"/>
      <c r="J808" s="485"/>
    </row>
    <row r="810" spans="1:10" ht="15.6" x14ac:dyDescent="0.3">
      <c r="A810" s="351" t="s">
        <v>848</v>
      </c>
      <c r="B810" s="352"/>
      <c r="C810" s="352"/>
      <c r="D810" s="352"/>
      <c r="E810" s="352"/>
      <c r="F810" s="352"/>
      <c r="G810" s="352"/>
      <c r="H810" s="349" t="str">
        <f>'CONTACT INFORMATION'!$A$24</f>
        <v>Fresno</v>
      </c>
      <c r="I810" s="349"/>
      <c r="J810" s="350"/>
    </row>
    <row r="811" spans="1:10" ht="8.1" customHeight="1" x14ac:dyDescent="0.25">
      <c r="A811" s="163"/>
      <c r="B811" s="163"/>
      <c r="C811" s="163"/>
      <c r="D811" s="163"/>
      <c r="E811" s="163"/>
      <c r="F811" s="163"/>
      <c r="G811" s="163"/>
      <c r="H811" s="163"/>
      <c r="I811" s="163"/>
      <c r="J811" s="163"/>
    </row>
    <row r="812" spans="1:10" ht="13.8" x14ac:dyDescent="0.25">
      <c r="A812" s="458" t="s">
        <v>867</v>
      </c>
      <c r="B812" s="459"/>
      <c r="C812" s="459"/>
      <c r="D812" s="459"/>
      <c r="E812" s="459"/>
      <c r="F812" s="459"/>
      <c r="G812" s="459"/>
      <c r="H812" s="459"/>
      <c r="I812" s="459"/>
      <c r="J812" s="460"/>
    </row>
    <row r="813" spans="1:10" x14ac:dyDescent="0.25">
      <c r="A813" s="455" t="s">
        <v>854</v>
      </c>
      <c r="B813" s="456"/>
      <c r="C813" s="456"/>
      <c r="D813" s="457"/>
      <c r="E813" s="527" t="s">
        <v>965</v>
      </c>
      <c r="F813" s="528"/>
      <c r="G813" s="528"/>
      <c r="H813" s="528"/>
      <c r="I813" s="528"/>
      <c r="J813" s="529"/>
    </row>
    <row r="814" spans="1:10" x14ac:dyDescent="0.25">
      <c r="A814" s="495" t="s">
        <v>853</v>
      </c>
      <c r="B814" s="496"/>
      <c r="C814" s="496"/>
      <c r="D814" s="497"/>
      <c r="E814" s="530"/>
      <c r="F814" s="531"/>
      <c r="G814" s="531"/>
      <c r="H814" s="531"/>
      <c r="I814" s="531"/>
      <c r="J814" s="532"/>
    </row>
    <row r="815" spans="1:10" x14ac:dyDescent="0.25">
      <c r="A815" s="524" t="s">
        <v>808</v>
      </c>
      <c r="B815" s="525"/>
      <c r="C815" s="525"/>
      <c r="D815" s="526"/>
      <c r="E815" s="471" t="s">
        <v>517</v>
      </c>
      <c r="F815" s="472"/>
      <c r="G815" s="472"/>
      <c r="H815" s="472"/>
      <c r="I815" s="472"/>
      <c r="J815" s="473"/>
    </row>
    <row r="816" spans="1:10" ht="27" customHeight="1" x14ac:dyDescent="0.25">
      <c r="A816" s="157"/>
      <c r="B816" s="208"/>
      <c r="C816" s="208"/>
      <c r="D816" s="208"/>
      <c r="E816" s="474" t="s">
        <v>535</v>
      </c>
      <c r="F816" s="475"/>
      <c r="G816" s="474" t="s">
        <v>533</v>
      </c>
      <c r="H816" s="475"/>
      <c r="I816" s="476" t="s">
        <v>849</v>
      </c>
      <c r="J816" s="477"/>
    </row>
    <row r="817" spans="1:10" x14ac:dyDescent="0.25">
      <c r="A817" s="441" t="s">
        <v>527</v>
      </c>
      <c r="B817" s="442"/>
      <c r="C817" s="442"/>
      <c r="D817" s="443"/>
      <c r="E817" s="449">
        <v>130128</v>
      </c>
      <c r="F817" s="449"/>
      <c r="G817" s="449"/>
      <c r="H817" s="449"/>
      <c r="I817" s="450"/>
      <c r="J817" s="450"/>
    </row>
    <row r="818" spans="1:10" x14ac:dyDescent="0.25">
      <c r="A818" s="445" t="s">
        <v>528</v>
      </c>
      <c r="B818" s="446"/>
      <c r="C818" s="446"/>
      <c r="D818" s="447"/>
      <c r="E818" s="432">
        <v>4752</v>
      </c>
      <c r="F818" s="432"/>
      <c r="G818" s="433"/>
      <c r="H818" s="433"/>
      <c r="I818" s="448"/>
      <c r="J818" s="448"/>
    </row>
    <row r="819" spans="1:10" x14ac:dyDescent="0.25">
      <c r="A819" s="441" t="s">
        <v>529</v>
      </c>
      <c r="B819" s="442"/>
      <c r="C819" s="442"/>
      <c r="D819" s="443"/>
      <c r="E819" s="449"/>
      <c r="F819" s="449"/>
      <c r="G819" s="449"/>
      <c r="H819" s="449"/>
      <c r="I819" s="450"/>
      <c r="J819" s="450"/>
    </row>
    <row r="820" spans="1:10" x14ac:dyDescent="0.25">
      <c r="A820" s="445" t="s">
        <v>530</v>
      </c>
      <c r="B820" s="446"/>
      <c r="C820" s="446"/>
      <c r="D820" s="447"/>
      <c r="E820" s="432"/>
      <c r="F820" s="432"/>
      <c r="G820" s="433"/>
      <c r="H820" s="433"/>
      <c r="I820" s="448"/>
      <c r="J820" s="448"/>
    </row>
    <row r="821" spans="1:10" x14ac:dyDescent="0.25">
      <c r="A821" s="441" t="s">
        <v>531</v>
      </c>
      <c r="B821" s="442"/>
      <c r="C821" s="442"/>
      <c r="D821" s="443"/>
      <c r="E821" s="449"/>
      <c r="F821" s="449"/>
      <c r="G821" s="449"/>
      <c r="H821" s="449"/>
      <c r="I821" s="450"/>
      <c r="J821" s="450"/>
    </row>
    <row r="822" spans="1:10" x14ac:dyDescent="0.25">
      <c r="A822" s="445" t="s">
        <v>532</v>
      </c>
      <c r="B822" s="446"/>
      <c r="C822" s="446"/>
      <c r="D822" s="447"/>
      <c r="E822" s="432">
        <v>674</v>
      </c>
      <c r="F822" s="432"/>
      <c r="G822" s="433"/>
      <c r="H822" s="433"/>
      <c r="I822" s="448"/>
      <c r="J822" s="448"/>
    </row>
    <row r="823" spans="1:10" x14ac:dyDescent="0.25">
      <c r="A823" s="441" t="s">
        <v>537</v>
      </c>
      <c r="B823" s="442"/>
      <c r="C823" s="442"/>
      <c r="D823" s="443"/>
      <c r="E823" s="444"/>
      <c r="F823" s="444"/>
      <c r="G823" s="444"/>
      <c r="H823" s="444"/>
      <c r="I823" s="438"/>
      <c r="J823" s="438"/>
    </row>
    <row r="824" spans="1:10" x14ac:dyDescent="0.25">
      <c r="A824" s="429"/>
      <c r="B824" s="430"/>
      <c r="C824" s="430"/>
      <c r="D824" s="431"/>
      <c r="E824" s="432"/>
      <c r="F824" s="432"/>
      <c r="G824" s="433"/>
      <c r="H824" s="433"/>
      <c r="I824" s="433"/>
      <c r="J824" s="433"/>
    </row>
    <row r="825" spans="1:10" x14ac:dyDescent="0.25">
      <c r="A825" s="429"/>
      <c r="B825" s="430"/>
      <c r="C825" s="430"/>
      <c r="D825" s="431"/>
      <c r="E825" s="432"/>
      <c r="F825" s="432"/>
      <c r="G825" s="433"/>
      <c r="H825" s="433"/>
      <c r="I825" s="433"/>
      <c r="J825" s="433"/>
    </row>
    <row r="826" spans="1:10" x14ac:dyDescent="0.25">
      <c r="A826" s="429"/>
      <c r="B826" s="430"/>
      <c r="C826" s="430"/>
      <c r="D826" s="431"/>
      <c r="E826" s="432"/>
      <c r="F826" s="432"/>
      <c r="G826" s="433"/>
      <c r="H826" s="433"/>
      <c r="I826" s="433"/>
      <c r="J826" s="433"/>
    </row>
    <row r="827" spans="1:10" x14ac:dyDescent="0.25">
      <c r="A827" s="434" t="s">
        <v>534</v>
      </c>
      <c r="B827" s="435"/>
      <c r="C827" s="435"/>
      <c r="D827" s="436"/>
      <c r="E827" s="437">
        <f>SUM(E817:E826)</f>
        <v>135554</v>
      </c>
      <c r="F827" s="437"/>
      <c r="G827" s="437">
        <f>SUM(G817:G826)</f>
        <v>0</v>
      </c>
      <c r="H827" s="437"/>
      <c r="I827" s="437">
        <f>SUM(I817:I826)</f>
        <v>0</v>
      </c>
      <c r="J827" s="437"/>
    </row>
    <row r="828" spans="1:10" x14ac:dyDescent="0.25">
      <c r="A828" s="486" t="s">
        <v>861</v>
      </c>
      <c r="B828" s="487"/>
      <c r="C828" s="487"/>
      <c r="D828" s="487"/>
      <c r="E828" s="487"/>
      <c r="F828" s="487"/>
      <c r="G828" s="487"/>
      <c r="H828" s="487"/>
      <c r="I828" s="487"/>
      <c r="J828" s="488"/>
    </row>
    <row r="829" spans="1:10" x14ac:dyDescent="0.25">
      <c r="A829" s="489" t="s">
        <v>862</v>
      </c>
      <c r="B829" s="490"/>
      <c r="C829" s="490"/>
      <c r="D829" s="490"/>
      <c r="E829" s="490"/>
      <c r="F829" s="490"/>
      <c r="G829" s="490"/>
      <c r="H829" s="490"/>
      <c r="I829" s="490"/>
      <c r="J829" s="491"/>
    </row>
    <row r="830" spans="1:10" x14ac:dyDescent="0.25">
      <c r="A830" s="489" t="s">
        <v>863</v>
      </c>
      <c r="B830" s="490"/>
      <c r="C830" s="490"/>
      <c r="D830" s="490"/>
      <c r="E830" s="490"/>
      <c r="F830" s="490"/>
      <c r="G830" s="490"/>
      <c r="H830" s="490"/>
      <c r="I830" s="490"/>
      <c r="J830" s="491"/>
    </row>
    <row r="831" spans="1:10" x14ac:dyDescent="0.25">
      <c r="A831" s="492" t="s">
        <v>864</v>
      </c>
      <c r="B831" s="493"/>
      <c r="C831" s="493"/>
      <c r="D831" s="493"/>
      <c r="E831" s="493"/>
      <c r="F831" s="493"/>
      <c r="G831" s="493"/>
      <c r="H831" s="493"/>
      <c r="I831" s="493"/>
      <c r="J831" s="494"/>
    </row>
    <row r="832" spans="1:10" x14ac:dyDescent="0.25">
      <c r="A832" s="300" t="s">
        <v>954</v>
      </c>
      <c r="B832" s="478"/>
      <c r="C832" s="478"/>
      <c r="D832" s="478"/>
      <c r="E832" s="478"/>
      <c r="F832" s="478"/>
      <c r="G832" s="478"/>
      <c r="H832" s="478"/>
      <c r="I832" s="478"/>
      <c r="J832" s="479"/>
    </row>
    <row r="833" spans="1:10" x14ac:dyDescent="0.25">
      <c r="A833" s="480"/>
      <c r="B833" s="481"/>
      <c r="C833" s="481"/>
      <c r="D833" s="481"/>
      <c r="E833" s="481"/>
      <c r="F833" s="481"/>
      <c r="G833" s="481"/>
      <c r="H833" s="481"/>
      <c r="I833" s="481"/>
      <c r="J833" s="482"/>
    </row>
    <row r="834" spans="1:10" x14ac:dyDescent="0.25">
      <c r="A834" s="480"/>
      <c r="B834" s="481"/>
      <c r="C834" s="481"/>
      <c r="D834" s="481"/>
      <c r="E834" s="481"/>
      <c r="F834" s="481"/>
      <c r="G834" s="481"/>
      <c r="H834" s="481"/>
      <c r="I834" s="481"/>
      <c r="J834" s="482"/>
    </row>
    <row r="835" spans="1:10" x14ac:dyDescent="0.25">
      <c r="A835" s="480"/>
      <c r="B835" s="481"/>
      <c r="C835" s="481"/>
      <c r="D835" s="481"/>
      <c r="E835" s="481"/>
      <c r="F835" s="481"/>
      <c r="G835" s="481"/>
      <c r="H835" s="481"/>
      <c r="I835" s="481"/>
      <c r="J835" s="482"/>
    </row>
    <row r="836" spans="1:10" x14ac:dyDescent="0.25">
      <c r="A836" s="480"/>
      <c r="B836" s="481"/>
      <c r="C836" s="481"/>
      <c r="D836" s="481"/>
      <c r="E836" s="481"/>
      <c r="F836" s="481"/>
      <c r="G836" s="481"/>
      <c r="H836" s="481"/>
      <c r="I836" s="481"/>
      <c r="J836" s="482"/>
    </row>
    <row r="837" spans="1:10" x14ac:dyDescent="0.25">
      <c r="A837" s="480"/>
      <c r="B837" s="481"/>
      <c r="C837" s="481"/>
      <c r="D837" s="481"/>
      <c r="E837" s="481"/>
      <c r="F837" s="481"/>
      <c r="G837" s="481"/>
      <c r="H837" s="481"/>
      <c r="I837" s="481"/>
      <c r="J837" s="482"/>
    </row>
    <row r="838" spans="1:10" x14ac:dyDescent="0.25">
      <c r="A838" s="480"/>
      <c r="B838" s="481"/>
      <c r="C838" s="481"/>
      <c r="D838" s="481"/>
      <c r="E838" s="481"/>
      <c r="F838" s="481"/>
      <c r="G838" s="481"/>
      <c r="H838" s="481"/>
      <c r="I838" s="481"/>
      <c r="J838" s="482"/>
    </row>
    <row r="839" spans="1:10" x14ac:dyDescent="0.25">
      <c r="A839" s="480"/>
      <c r="B839" s="481"/>
      <c r="C839" s="481"/>
      <c r="D839" s="481"/>
      <c r="E839" s="481"/>
      <c r="F839" s="481"/>
      <c r="G839" s="481"/>
      <c r="H839" s="481"/>
      <c r="I839" s="481"/>
      <c r="J839" s="482"/>
    </row>
    <row r="840" spans="1:10" x14ac:dyDescent="0.25">
      <c r="A840" s="480"/>
      <c r="B840" s="481"/>
      <c r="C840" s="481"/>
      <c r="D840" s="481"/>
      <c r="E840" s="481"/>
      <c r="F840" s="481"/>
      <c r="G840" s="481"/>
      <c r="H840" s="481"/>
      <c r="I840" s="481"/>
      <c r="J840" s="482"/>
    </row>
    <row r="841" spans="1:10" x14ac:dyDescent="0.25">
      <c r="A841" s="480"/>
      <c r="B841" s="481"/>
      <c r="C841" s="481"/>
      <c r="D841" s="481"/>
      <c r="E841" s="481"/>
      <c r="F841" s="481"/>
      <c r="G841" s="481"/>
      <c r="H841" s="481"/>
      <c r="I841" s="481"/>
      <c r="J841" s="482"/>
    </row>
    <row r="842" spans="1:10" x14ac:dyDescent="0.25">
      <c r="A842" s="480"/>
      <c r="B842" s="481"/>
      <c r="C842" s="481"/>
      <c r="D842" s="481"/>
      <c r="E842" s="481"/>
      <c r="F842" s="481"/>
      <c r="G842" s="481"/>
      <c r="H842" s="481"/>
      <c r="I842" s="481"/>
      <c r="J842" s="482"/>
    </row>
    <row r="843" spans="1:10" x14ac:dyDescent="0.25">
      <c r="A843" s="480"/>
      <c r="B843" s="481"/>
      <c r="C843" s="481"/>
      <c r="D843" s="481"/>
      <c r="E843" s="481"/>
      <c r="F843" s="481"/>
      <c r="G843" s="481"/>
      <c r="H843" s="481"/>
      <c r="I843" s="481"/>
      <c r="J843" s="482"/>
    </row>
    <row r="844" spans="1:10" x14ac:dyDescent="0.25">
      <c r="A844" s="480"/>
      <c r="B844" s="481"/>
      <c r="C844" s="481"/>
      <c r="D844" s="481"/>
      <c r="E844" s="481"/>
      <c r="F844" s="481"/>
      <c r="G844" s="481"/>
      <c r="H844" s="481"/>
      <c r="I844" s="481"/>
      <c r="J844" s="482"/>
    </row>
    <row r="845" spans="1:10" x14ac:dyDescent="0.25">
      <c r="A845" s="480"/>
      <c r="B845" s="481"/>
      <c r="C845" s="481"/>
      <c r="D845" s="481"/>
      <c r="E845" s="481"/>
      <c r="F845" s="481"/>
      <c r="G845" s="481"/>
      <c r="H845" s="481"/>
      <c r="I845" s="481"/>
      <c r="J845" s="482"/>
    </row>
    <row r="846" spans="1:10" x14ac:dyDescent="0.25">
      <c r="A846" s="480"/>
      <c r="B846" s="481"/>
      <c r="C846" s="481"/>
      <c r="D846" s="481"/>
      <c r="E846" s="481"/>
      <c r="F846" s="481"/>
      <c r="G846" s="481"/>
      <c r="H846" s="481"/>
      <c r="I846" s="481"/>
      <c r="J846" s="482"/>
    </row>
    <row r="847" spans="1:10" x14ac:dyDescent="0.25">
      <c r="A847" s="480"/>
      <c r="B847" s="481"/>
      <c r="C847" s="481"/>
      <c r="D847" s="481"/>
      <c r="E847" s="481"/>
      <c r="F847" s="481"/>
      <c r="G847" s="481"/>
      <c r="H847" s="481"/>
      <c r="I847" s="481"/>
      <c r="J847" s="482"/>
    </row>
    <row r="848" spans="1:10" x14ac:dyDescent="0.25">
      <c r="A848" s="480"/>
      <c r="B848" s="481"/>
      <c r="C848" s="481"/>
      <c r="D848" s="481"/>
      <c r="E848" s="481"/>
      <c r="F848" s="481"/>
      <c r="G848" s="481"/>
      <c r="H848" s="481"/>
      <c r="I848" s="481"/>
      <c r="J848" s="482"/>
    </row>
    <row r="849" spans="1:10" x14ac:dyDescent="0.25">
      <c r="A849" s="480"/>
      <c r="B849" s="481"/>
      <c r="C849" s="481"/>
      <c r="D849" s="481"/>
      <c r="E849" s="481"/>
      <c r="F849" s="481"/>
      <c r="G849" s="481"/>
      <c r="H849" s="481"/>
      <c r="I849" s="481"/>
      <c r="J849" s="482"/>
    </row>
    <row r="850" spans="1:10" x14ac:dyDescent="0.25">
      <c r="A850" s="480"/>
      <c r="B850" s="481"/>
      <c r="C850" s="481"/>
      <c r="D850" s="481"/>
      <c r="E850" s="481"/>
      <c r="F850" s="481"/>
      <c r="G850" s="481"/>
      <c r="H850" s="481"/>
      <c r="I850" s="481"/>
      <c r="J850" s="482"/>
    </row>
    <row r="851" spans="1:10" x14ac:dyDescent="0.25">
      <c r="A851" s="480"/>
      <c r="B851" s="481"/>
      <c r="C851" s="481"/>
      <c r="D851" s="481"/>
      <c r="E851" s="481"/>
      <c r="F851" s="481"/>
      <c r="G851" s="481"/>
      <c r="H851" s="481"/>
      <c r="I851" s="481"/>
      <c r="J851" s="482"/>
    </row>
    <row r="852" spans="1:10" x14ac:dyDescent="0.25">
      <c r="A852" s="480"/>
      <c r="B852" s="481"/>
      <c r="C852" s="481"/>
      <c r="D852" s="481"/>
      <c r="E852" s="481"/>
      <c r="F852" s="481"/>
      <c r="G852" s="481"/>
      <c r="H852" s="481"/>
      <c r="I852" s="481"/>
      <c r="J852" s="482"/>
    </row>
    <row r="853" spans="1:10" x14ac:dyDescent="0.25">
      <c r="A853" s="480"/>
      <c r="B853" s="481"/>
      <c r="C853" s="481"/>
      <c r="D853" s="481"/>
      <c r="E853" s="481"/>
      <c r="F853" s="481"/>
      <c r="G853" s="481"/>
      <c r="H853" s="481"/>
      <c r="I853" s="481"/>
      <c r="J853" s="482"/>
    </row>
    <row r="854" spans="1:10" x14ac:dyDescent="0.25">
      <c r="A854" s="480"/>
      <c r="B854" s="481"/>
      <c r="C854" s="481"/>
      <c r="D854" s="481"/>
      <c r="E854" s="481"/>
      <c r="F854" s="481"/>
      <c r="G854" s="481"/>
      <c r="H854" s="481"/>
      <c r="I854" s="481"/>
      <c r="J854" s="482"/>
    </row>
    <row r="855" spans="1:10" x14ac:dyDescent="0.25">
      <c r="A855" s="480"/>
      <c r="B855" s="481"/>
      <c r="C855" s="481"/>
      <c r="D855" s="481"/>
      <c r="E855" s="481"/>
      <c r="F855" s="481"/>
      <c r="G855" s="481"/>
      <c r="H855" s="481"/>
      <c r="I855" s="481"/>
      <c r="J855" s="482"/>
    </row>
    <row r="856" spans="1:10" x14ac:dyDescent="0.25">
      <c r="A856" s="480"/>
      <c r="B856" s="481"/>
      <c r="C856" s="481"/>
      <c r="D856" s="481"/>
      <c r="E856" s="481"/>
      <c r="F856" s="481"/>
      <c r="G856" s="481"/>
      <c r="H856" s="481"/>
      <c r="I856" s="481"/>
      <c r="J856" s="482"/>
    </row>
    <row r="857" spans="1:10" x14ac:dyDescent="0.25">
      <c r="A857" s="480"/>
      <c r="B857" s="481"/>
      <c r="C857" s="481"/>
      <c r="D857" s="481"/>
      <c r="E857" s="481"/>
      <c r="F857" s="481"/>
      <c r="G857" s="481"/>
      <c r="H857" s="481"/>
      <c r="I857" s="481"/>
      <c r="J857" s="482"/>
    </row>
    <row r="858" spans="1:10" x14ac:dyDescent="0.25">
      <c r="A858" s="480"/>
      <c r="B858" s="481"/>
      <c r="C858" s="481"/>
      <c r="D858" s="481"/>
      <c r="E858" s="481"/>
      <c r="F858" s="481"/>
      <c r="G858" s="481"/>
      <c r="H858" s="481"/>
      <c r="I858" s="481"/>
      <c r="J858" s="482"/>
    </row>
    <row r="859" spans="1:10" x14ac:dyDescent="0.25">
      <c r="A859" s="480"/>
      <c r="B859" s="481"/>
      <c r="C859" s="481"/>
      <c r="D859" s="481"/>
      <c r="E859" s="481"/>
      <c r="F859" s="481"/>
      <c r="G859" s="481"/>
      <c r="H859" s="481"/>
      <c r="I859" s="481"/>
      <c r="J859" s="482"/>
    </row>
    <row r="860" spans="1:10" x14ac:dyDescent="0.25">
      <c r="A860" s="480"/>
      <c r="B860" s="481"/>
      <c r="C860" s="481"/>
      <c r="D860" s="481"/>
      <c r="E860" s="481"/>
      <c r="F860" s="481"/>
      <c r="G860" s="481"/>
      <c r="H860" s="481"/>
      <c r="I860" s="481"/>
      <c r="J860" s="482"/>
    </row>
    <row r="861" spans="1:10" x14ac:dyDescent="0.25">
      <c r="A861" s="480"/>
      <c r="B861" s="481"/>
      <c r="C861" s="481"/>
      <c r="D861" s="481"/>
      <c r="E861" s="481"/>
      <c r="F861" s="481"/>
      <c r="G861" s="481"/>
      <c r="H861" s="481"/>
      <c r="I861" s="481"/>
      <c r="J861" s="482"/>
    </row>
    <row r="862" spans="1:10" x14ac:dyDescent="0.25">
      <c r="A862" s="480"/>
      <c r="B862" s="481"/>
      <c r="C862" s="481"/>
      <c r="D862" s="481"/>
      <c r="E862" s="481"/>
      <c r="F862" s="481"/>
      <c r="G862" s="481"/>
      <c r="H862" s="481"/>
      <c r="I862" s="481"/>
      <c r="J862" s="482"/>
    </row>
    <row r="863" spans="1:10" x14ac:dyDescent="0.25">
      <c r="A863" s="480"/>
      <c r="B863" s="481"/>
      <c r="C863" s="481"/>
      <c r="D863" s="481"/>
      <c r="E863" s="481"/>
      <c r="F863" s="481"/>
      <c r="G863" s="481"/>
      <c r="H863" s="481"/>
      <c r="I863" s="481"/>
      <c r="J863" s="482"/>
    </row>
    <row r="864" spans="1:10" x14ac:dyDescent="0.25">
      <c r="A864" s="480"/>
      <c r="B864" s="481"/>
      <c r="C864" s="481"/>
      <c r="D864" s="481"/>
      <c r="E864" s="481"/>
      <c r="F864" s="481"/>
      <c r="G864" s="481"/>
      <c r="H864" s="481"/>
      <c r="I864" s="481"/>
      <c r="J864" s="482"/>
    </row>
    <row r="865" spans="1:10" x14ac:dyDescent="0.25">
      <c r="A865" s="480"/>
      <c r="B865" s="481"/>
      <c r="C865" s="481"/>
      <c r="D865" s="481"/>
      <c r="E865" s="481"/>
      <c r="F865" s="481"/>
      <c r="G865" s="481"/>
      <c r="H865" s="481"/>
      <c r="I865" s="481"/>
      <c r="J865" s="482"/>
    </row>
    <row r="866" spans="1:10" x14ac:dyDescent="0.25">
      <c r="A866" s="483"/>
      <c r="B866" s="484"/>
      <c r="C866" s="484"/>
      <c r="D866" s="484"/>
      <c r="E866" s="484"/>
      <c r="F866" s="484"/>
      <c r="G866" s="484"/>
      <c r="H866" s="484"/>
      <c r="I866" s="484"/>
      <c r="J866" s="485"/>
    </row>
    <row r="868" spans="1:10" ht="15.6" x14ac:dyDescent="0.3">
      <c r="A868" s="351" t="s">
        <v>848</v>
      </c>
      <c r="B868" s="352"/>
      <c r="C868" s="352"/>
      <c r="D868" s="352"/>
      <c r="E868" s="352"/>
      <c r="F868" s="352"/>
      <c r="G868" s="352"/>
      <c r="H868" s="349" t="str">
        <f>'CONTACT INFORMATION'!$A$24</f>
        <v>Fresno</v>
      </c>
      <c r="I868" s="349"/>
      <c r="J868" s="350"/>
    </row>
    <row r="869" spans="1:10" ht="8.1" customHeight="1" x14ac:dyDescent="0.25">
      <c r="A869" s="200"/>
      <c r="B869" s="201"/>
      <c r="C869" s="201"/>
      <c r="D869" s="201"/>
      <c r="E869" s="201"/>
      <c r="F869" s="201"/>
      <c r="G869" s="201"/>
      <c r="H869" s="201"/>
      <c r="I869" s="201"/>
      <c r="J869" s="202"/>
    </row>
    <row r="870" spans="1:10" ht="13.8" x14ac:dyDescent="0.25">
      <c r="A870" s="458" t="s">
        <v>868</v>
      </c>
      <c r="B870" s="459"/>
      <c r="C870" s="459"/>
      <c r="D870" s="459"/>
      <c r="E870" s="459"/>
      <c r="F870" s="459"/>
      <c r="G870" s="459"/>
      <c r="H870" s="459"/>
      <c r="I870" s="459"/>
      <c r="J870" s="460"/>
    </row>
    <row r="871" spans="1:10" x14ac:dyDescent="0.25">
      <c r="A871" s="455" t="s">
        <v>854</v>
      </c>
      <c r="B871" s="456"/>
      <c r="C871" s="456"/>
      <c r="D871" s="457"/>
      <c r="E871" s="527" t="s">
        <v>946</v>
      </c>
      <c r="F871" s="528"/>
      <c r="G871" s="528"/>
      <c r="H871" s="528"/>
      <c r="I871" s="528"/>
      <c r="J871" s="529"/>
    </row>
    <row r="872" spans="1:10" x14ac:dyDescent="0.25">
      <c r="A872" s="495" t="s">
        <v>853</v>
      </c>
      <c r="B872" s="496"/>
      <c r="C872" s="496"/>
      <c r="D872" s="497"/>
      <c r="E872" s="530"/>
      <c r="F872" s="531"/>
      <c r="G872" s="531"/>
      <c r="H872" s="531"/>
      <c r="I872" s="531"/>
      <c r="J872" s="532"/>
    </row>
    <row r="873" spans="1:10" x14ac:dyDescent="0.25">
      <c r="A873" s="524" t="s">
        <v>808</v>
      </c>
      <c r="B873" s="525"/>
      <c r="C873" s="525"/>
      <c r="D873" s="526"/>
      <c r="E873" s="471" t="s">
        <v>507</v>
      </c>
      <c r="F873" s="472"/>
      <c r="G873" s="472"/>
      <c r="H873" s="472"/>
      <c r="I873" s="472"/>
      <c r="J873" s="473"/>
    </row>
    <row r="874" spans="1:10" ht="27" customHeight="1" x14ac:dyDescent="0.25">
      <c r="A874" s="157"/>
      <c r="B874" s="208"/>
      <c r="C874" s="208"/>
      <c r="D874" s="208"/>
      <c r="E874" s="474" t="s">
        <v>535</v>
      </c>
      <c r="F874" s="475"/>
      <c r="G874" s="474" t="s">
        <v>533</v>
      </c>
      <c r="H874" s="475"/>
      <c r="I874" s="476" t="s">
        <v>849</v>
      </c>
      <c r="J874" s="477"/>
    </row>
    <row r="875" spans="1:10" x14ac:dyDescent="0.25">
      <c r="A875" s="441" t="s">
        <v>527</v>
      </c>
      <c r="B875" s="442"/>
      <c r="C875" s="442"/>
      <c r="D875" s="443"/>
      <c r="E875" s="449"/>
      <c r="F875" s="449"/>
      <c r="G875" s="449"/>
      <c r="H875" s="449"/>
      <c r="I875" s="450"/>
      <c r="J875" s="450"/>
    </row>
    <row r="876" spans="1:10" x14ac:dyDescent="0.25">
      <c r="A876" s="445" t="s">
        <v>528</v>
      </c>
      <c r="B876" s="446"/>
      <c r="C876" s="446"/>
      <c r="D876" s="447"/>
      <c r="E876" s="432"/>
      <c r="F876" s="432"/>
      <c r="G876" s="433"/>
      <c r="H876" s="433"/>
      <c r="I876" s="448"/>
      <c r="J876" s="448"/>
    </row>
    <row r="877" spans="1:10" x14ac:dyDescent="0.25">
      <c r="A877" s="441" t="s">
        <v>529</v>
      </c>
      <c r="B877" s="442"/>
      <c r="C877" s="442"/>
      <c r="D877" s="443"/>
      <c r="E877" s="449"/>
      <c r="F877" s="449"/>
      <c r="G877" s="449">
        <v>57375</v>
      </c>
      <c r="H877" s="449"/>
      <c r="I877" s="450"/>
      <c r="J877" s="450"/>
    </row>
    <row r="878" spans="1:10" x14ac:dyDescent="0.25">
      <c r="A878" s="445" t="s">
        <v>530</v>
      </c>
      <c r="B878" s="446"/>
      <c r="C878" s="446"/>
      <c r="D878" s="447"/>
      <c r="E878" s="432"/>
      <c r="F878" s="432"/>
      <c r="G878" s="433"/>
      <c r="H878" s="433"/>
      <c r="I878" s="448"/>
      <c r="J878" s="448"/>
    </row>
    <row r="879" spans="1:10" x14ac:dyDescent="0.25">
      <c r="A879" s="441" t="s">
        <v>531</v>
      </c>
      <c r="B879" s="442"/>
      <c r="C879" s="442"/>
      <c r="D879" s="443"/>
      <c r="E879" s="449"/>
      <c r="F879" s="449"/>
      <c r="G879" s="449"/>
      <c r="H879" s="449"/>
      <c r="I879" s="450"/>
      <c r="J879" s="450"/>
    </row>
    <row r="880" spans="1:10" x14ac:dyDescent="0.25">
      <c r="A880" s="445" t="s">
        <v>532</v>
      </c>
      <c r="B880" s="446"/>
      <c r="C880" s="446"/>
      <c r="D880" s="447"/>
      <c r="E880" s="432"/>
      <c r="F880" s="432"/>
      <c r="G880" s="433"/>
      <c r="H880" s="433"/>
      <c r="I880" s="448"/>
      <c r="J880" s="448"/>
    </row>
    <row r="881" spans="1:10" x14ac:dyDescent="0.25">
      <c r="A881" s="441" t="s">
        <v>537</v>
      </c>
      <c r="B881" s="442"/>
      <c r="C881" s="442"/>
      <c r="D881" s="443"/>
      <c r="E881" s="444"/>
      <c r="F881" s="444"/>
      <c r="G881" s="444"/>
      <c r="H881" s="444"/>
      <c r="I881" s="438"/>
      <c r="J881" s="438"/>
    </row>
    <row r="882" spans="1:10" x14ac:dyDescent="0.25">
      <c r="A882" s="429"/>
      <c r="B882" s="430"/>
      <c r="C882" s="430"/>
      <c r="D882" s="431"/>
      <c r="E882" s="432"/>
      <c r="F882" s="432"/>
      <c r="G882" s="433"/>
      <c r="H882" s="433"/>
      <c r="I882" s="433"/>
      <c r="J882" s="433"/>
    </row>
    <row r="883" spans="1:10" x14ac:dyDescent="0.25">
      <c r="A883" s="429"/>
      <c r="B883" s="430"/>
      <c r="C883" s="430"/>
      <c r="D883" s="431"/>
      <c r="E883" s="432"/>
      <c r="F883" s="432"/>
      <c r="G883" s="433"/>
      <c r="H883" s="433"/>
      <c r="I883" s="433"/>
      <c r="J883" s="433"/>
    </row>
    <row r="884" spans="1:10" x14ac:dyDescent="0.25">
      <c r="A884" s="429"/>
      <c r="B884" s="430"/>
      <c r="C884" s="430"/>
      <c r="D884" s="431"/>
      <c r="E884" s="432"/>
      <c r="F884" s="432"/>
      <c r="G884" s="433"/>
      <c r="H884" s="433"/>
      <c r="I884" s="433"/>
      <c r="J884" s="433"/>
    </row>
    <row r="885" spans="1:10" x14ac:dyDescent="0.25">
      <c r="A885" s="434" t="s">
        <v>534</v>
      </c>
      <c r="B885" s="435"/>
      <c r="C885" s="435"/>
      <c r="D885" s="436"/>
      <c r="E885" s="437">
        <f>SUM(E875:E884)</f>
        <v>0</v>
      </c>
      <c r="F885" s="437"/>
      <c r="G885" s="437">
        <f>SUM(G875:G884)</f>
        <v>57375</v>
      </c>
      <c r="H885" s="437"/>
      <c r="I885" s="437">
        <f>SUM(I875:I884)</f>
        <v>0</v>
      </c>
      <c r="J885" s="437"/>
    </row>
    <row r="886" spans="1:10" x14ac:dyDescent="0.25">
      <c r="A886" s="486" t="s">
        <v>861</v>
      </c>
      <c r="B886" s="487"/>
      <c r="C886" s="487"/>
      <c r="D886" s="487"/>
      <c r="E886" s="487"/>
      <c r="F886" s="487"/>
      <c r="G886" s="487"/>
      <c r="H886" s="487"/>
      <c r="I886" s="487"/>
      <c r="J886" s="488"/>
    </row>
    <row r="887" spans="1:10" x14ac:dyDescent="0.25">
      <c r="A887" s="489" t="s">
        <v>862</v>
      </c>
      <c r="B887" s="490"/>
      <c r="C887" s="490"/>
      <c r="D887" s="490"/>
      <c r="E887" s="490"/>
      <c r="F887" s="490"/>
      <c r="G887" s="490"/>
      <c r="H887" s="490"/>
      <c r="I887" s="490"/>
      <c r="J887" s="491"/>
    </row>
    <row r="888" spans="1:10" x14ac:dyDescent="0.25">
      <c r="A888" s="489" t="s">
        <v>863</v>
      </c>
      <c r="B888" s="490"/>
      <c r="C888" s="490"/>
      <c r="D888" s="490"/>
      <c r="E888" s="490"/>
      <c r="F888" s="490"/>
      <c r="G888" s="490"/>
      <c r="H888" s="490"/>
      <c r="I888" s="490"/>
      <c r="J888" s="491"/>
    </row>
    <row r="889" spans="1:10" x14ac:dyDescent="0.25">
      <c r="A889" s="492" t="s">
        <v>864</v>
      </c>
      <c r="B889" s="493"/>
      <c r="C889" s="493"/>
      <c r="D889" s="493"/>
      <c r="E889" s="493"/>
      <c r="F889" s="493"/>
      <c r="G889" s="493"/>
      <c r="H889" s="493"/>
      <c r="I889" s="493"/>
      <c r="J889" s="494"/>
    </row>
    <row r="890" spans="1:10" ht="12.75" customHeight="1" x14ac:dyDescent="0.25">
      <c r="A890" s="300" t="s">
        <v>947</v>
      </c>
      <c r="B890" s="478"/>
      <c r="C890" s="478"/>
      <c r="D890" s="478"/>
      <c r="E890" s="478"/>
      <c r="F890" s="478"/>
      <c r="G890" s="478"/>
      <c r="H890" s="478"/>
      <c r="I890" s="478"/>
      <c r="J890" s="479"/>
    </row>
    <row r="891" spans="1:10" x14ac:dyDescent="0.25">
      <c r="A891" s="480"/>
      <c r="B891" s="481"/>
      <c r="C891" s="481"/>
      <c r="D891" s="481"/>
      <c r="E891" s="481"/>
      <c r="F891" s="481"/>
      <c r="G891" s="481"/>
      <c r="H891" s="481"/>
      <c r="I891" s="481"/>
      <c r="J891" s="482"/>
    </row>
    <row r="892" spans="1:10" x14ac:dyDescent="0.25">
      <c r="A892" s="480"/>
      <c r="B892" s="481"/>
      <c r="C892" s="481"/>
      <c r="D892" s="481"/>
      <c r="E892" s="481"/>
      <c r="F892" s="481"/>
      <c r="G892" s="481"/>
      <c r="H892" s="481"/>
      <c r="I892" s="481"/>
      <c r="J892" s="482"/>
    </row>
    <row r="893" spans="1:10" x14ac:dyDescent="0.25">
      <c r="A893" s="480"/>
      <c r="B893" s="481"/>
      <c r="C893" s="481"/>
      <c r="D893" s="481"/>
      <c r="E893" s="481"/>
      <c r="F893" s="481"/>
      <c r="G893" s="481"/>
      <c r="H893" s="481"/>
      <c r="I893" s="481"/>
      <c r="J893" s="482"/>
    </row>
    <row r="894" spans="1:10" x14ac:dyDescent="0.25">
      <c r="A894" s="480"/>
      <c r="B894" s="481"/>
      <c r="C894" s="481"/>
      <c r="D894" s="481"/>
      <c r="E894" s="481"/>
      <c r="F894" s="481"/>
      <c r="G894" s="481"/>
      <c r="H894" s="481"/>
      <c r="I894" s="481"/>
      <c r="J894" s="482"/>
    </row>
    <row r="895" spans="1:10" x14ac:dyDescent="0.25">
      <c r="A895" s="480"/>
      <c r="B895" s="481"/>
      <c r="C895" s="481"/>
      <c r="D895" s="481"/>
      <c r="E895" s="481"/>
      <c r="F895" s="481"/>
      <c r="G895" s="481"/>
      <c r="H895" s="481"/>
      <c r="I895" s="481"/>
      <c r="J895" s="482"/>
    </row>
    <row r="896" spans="1:10" x14ac:dyDescent="0.25">
      <c r="A896" s="480"/>
      <c r="B896" s="481"/>
      <c r="C896" s="481"/>
      <c r="D896" s="481"/>
      <c r="E896" s="481"/>
      <c r="F896" s="481"/>
      <c r="G896" s="481"/>
      <c r="H896" s="481"/>
      <c r="I896" s="481"/>
      <c r="J896" s="482"/>
    </row>
    <row r="897" spans="1:10" x14ac:dyDescent="0.25">
      <c r="A897" s="480"/>
      <c r="B897" s="481"/>
      <c r="C897" s="481"/>
      <c r="D897" s="481"/>
      <c r="E897" s="481"/>
      <c r="F897" s="481"/>
      <c r="G897" s="481"/>
      <c r="H897" s="481"/>
      <c r="I897" s="481"/>
      <c r="J897" s="482"/>
    </row>
    <row r="898" spans="1:10" x14ac:dyDescent="0.25">
      <c r="A898" s="480"/>
      <c r="B898" s="481"/>
      <c r="C898" s="481"/>
      <c r="D898" s="481"/>
      <c r="E898" s="481"/>
      <c r="F898" s="481"/>
      <c r="G898" s="481"/>
      <c r="H898" s="481"/>
      <c r="I898" s="481"/>
      <c r="J898" s="482"/>
    </row>
    <row r="899" spans="1:10" x14ac:dyDescent="0.25">
      <c r="A899" s="480"/>
      <c r="B899" s="481"/>
      <c r="C899" s="481"/>
      <c r="D899" s="481"/>
      <c r="E899" s="481"/>
      <c r="F899" s="481"/>
      <c r="G899" s="481"/>
      <c r="H899" s="481"/>
      <c r="I899" s="481"/>
      <c r="J899" s="482"/>
    </row>
    <row r="900" spans="1:10" x14ac:dyDescent="0.25">
      <c r="A900" s="480"/>
      <c r="B900" s="481"/>
      <c r="C900" s="481"/>
      <c r="D900" s="481"/>
      <c r="E900" s="481"/>
      <c r="F900" s="481"/>
      <c r="G900" s="481"/>
      <c r="H900" s="481"/>
      <c r="I900" s="481"/>
      <c r="J900" s="482"/>
    </row>
    <row r="901" spans="1:10" x14ac:dyDescent="0.25">
      <c r="A901" s="480"/>
      <c r="B901" s="481"/>
      <c r="C901" s="481"/>
      <c r="D901" s="481"/>
      <c r="E901" s="481"/>
      <c r="F901" s="481"/>
      <c r="G901" s="481"/>
      <c r="H901" s="481"/>
      <c r="I901" s="481"/>
      <c r="J901" s="482"/>
    </row>
    <row r="902" spans="1:10" x14ac:dyDescent="0.25">
      <c r="A902" s="480"/>
      <c r="B902" s="481"/>
      <c r="C902" s="481"/>
      <c r="D902" s="481"/>
      <c r="E902" s="481"/>
      <c r="F902" s="481"/>
      <c r="G902" s="481"/>
      <c r="H902" s="481"/>
      <c r="I902" s="481"/>
      <c r="J902" s="482"/>
    </row>
    <row r="903" spans="1:10" x14ac:dyDescent="0.25">
      <c r="A903" s="480"/>
      <c r="B903" s="481"/>
      <c r="C903" s="481"/>
      <c r="D903" s="481"/>
      <c r="E903" s="481"/>
      <c r="F903" s="481"/>
      <c r="G903" s="481"/>
      <c r="H903" s="481"/>
      <c r="I903" s="481"/>
      <c r="J903" s="482"/>
    </row>
    <row r="904" spans="1:10" x14ac:dyDescent="0.25">
      <c r="A904" s="480"/>
      <c r="B904" s="481"/>
      <c r="C904" s="481"/>
      <c r="D904" s="481"/>
      <c r="E904" s="481"/>
      <c r="F904" s="481"/>
      <c r="G904" s="481"/>
      <c r="H904" s="481"/>
      <c r="I904" s="481"/>
      <c r="J904" s="482"/>
    </row>
    <row r="905" spans="1:10" x14ac:dyDescent="0.25">
      <c r="A905" s="480"/>
      <c r="B905" s="481"/>
      <c r="C905" s="481"/>
      <c r="D905" s="481"/>
      <c r="E905" s="481"/>
      <c r="F905" s="481"/>
      <c r="G905" s="481"/>
      <c r="H905" s="481"/>
      <c r="I905" s="481"/>
      <c r="J905" s="482"/>
    </row>
    <row r="906" spans="1:10" x14ac:dyDescent="0.25">
      <c r="A906" s="480"/>
      <c r="B906" s="481"/>
      <c r="C906" s="481"/>
      <c r="D906" s="481"/>
      <c r="E906" s="481"/>
      <c r="F906" s="481"/>
      <c r="G906" s="481"/>
      <c r="H906" s="481"/>
      <c r="I906" s="481"/>
      <c r="J906" s="482"/>
    </row>
    <row r="907" spans="1:10" x14ac:dyDescent="0.25">
      <c r="A907" s="480"/>
      <c r="B907" s="481"/>
      <c r="C907" s="481"/>
      <c r="D907" s="481"/>
      <c r="E907" s="481"/>
      <c r="F907" s="481"/>
      <c r="G907" s="481"/>
      <c r="H907" s="481"/>
      <c r="I907" s="481"/>
      <c r="J907" s="482"/>
    </row>
    <row r="908" spans="1:10" x14ac:dyDescent="0.25">
      <c r="A908" s="480"/>
      <c r="B908" s="481"/>
      <c r="C908" s="481"/>
      <c r="D908" s="481"/>
      <c r="E908" s="481"/>
      <c r="F908" s="481"/>
      <c r="G908" s="481"/>
      <c r="H908" s="481"/>
      <c r="I908" s="481"/>
      <c r="J908" s="482"/>
    </row>
    <row r="909" spans="1:10" x14ac:dyDescent="0.25">
      <c r="A909" s="480"/>
      <c r="B909" s="481"/>
      <c r="C909" s="481"/>
      <c r="D909" s="481"/>
      <c r="E909" s="481"/>
      <c r="F909" s="481"/>
      <c r="G909" s="481"/>
      <c r="H909" s="481"/>
      <c r="I909" s="481"/>
      <c r="J909" s="482"/>
    </row>
    <row r="910" spans="1:10" x14ac:dyDescent="0.25">
      <c r="A910" s="480"/>
      <c r="B910" s="481"/>
      <c r="C910" s="481"/>
      <c r="D910" s="481"/>
      <c r="E910" s="481"/>
      <c r="F910" s="481"/>
      <c r="G910" s="481"/>
      <c r="H910" s="481"/>
      <c r="I910" s="481"/>
      <c r="J910" s="482"/>
    </row>
    <row r="911" spans="1:10" x14ac:dyDescent="0.25">
      <c r="A911" s="480"/>
      <c r="B911" s="481"/>
      <c r="C911" s="481"/>
      <c r="D911" s="481"/>
      <c r="E911" s="481"/>
      <c r="F911" s="481"/>
      <c r="G911" s="481"/>
      <c r="H911" s="481"/>
      <c r="I911" s="481"/>
      <c r="J911" s="482"/>
    </row>
    <row r="912" spans="1:10" x14ac:dyDescent="0.25">
      <c r="A912" s="480"/>
      <c r="B912" s="481"/>
      <c r="C912" s="481"/>
      <c r="D912" s="481"/>
      <c r="E912" s="481"/>
      <c r="F912" s="481"/>
      <c r="G912" s="481"/>
      <c r="H912" s="481"/>
      <c r="I912" s="481"/>
      <c r="J912" s="482"/>
    </row>
    <row r="913" spans="1:10" x14ac:dyDescent="0.25">
      <c r="A913" s="480"/>
      <c r="B913" s="481"/>
      <c r="C913" s="481"/>
      <c r="D913" s="481"/>
      <c r="E913" s="481"/>
      <c r="F913" s="481"/>
      <c r="G913" s="481"/>
      <c r="H913" s="481"/>
      <c r="I913" s="481"/>
      <c r="J913" s="482"/>
    </row>
    <row r="914" spans="1:10" x14ac:dyDescent="0.25">
      <c r="A914" s="480"/>
      <c r="B914" s="481"/>
      <c r="C914" s="481"/>
      <c r="D914" s="481"/>
      <c r="E914" s="481"/>
      <c r="F914" s="481"/>
      <c r="G914" s="481"/>
      <c r="H914" s="481"/>
      <c r="I914" s="481"/>
      <c r="J914" s="482"/>
    </row>
    <row r="915" spans="1:10" x14ac:dyDescent="0.25">
      <c r="A915" s="480"/>
      <c r="B915" s="481"/>
      <c r="C915" s="481"/>
      <c r="D915" s="481"/>
      <c r="E915" s="481"/>
      <c r="F915" s="481"/>
      <c r="G915" s="481"/>
      <c r="H915" s="481"/>
      <c r="I915" s="481"/>
      <c r="J915" s="482"/>
    </row>
    <row r="916" spans="1:10" x14ac:dyDescent="0.25">
      <c r="A916" s="480"/>
      <c r="B916" s="481"/>
      <c r="C916" s="481"/>
      <c r="D916" s="481"/>
      <c r="E916" s="481"/>
      <c r="F916" s="481"/>
      <c r="G916" s="481"/>
      <c r="H916" s="481"/>
      <c r="I916" s="481"/>
      <c r="J916" s="482"/>
    </row>
    <row r="917" spans="1:10" x14ac:dyDescent="0.25">
      <c r="A917" s="480"/>
      <c r="B917" s="481"/>
      <c r="C917" s="481"/>
      <c r="D917" s="481"/>
      <c r="E917" s="481"/>
      <c r="F917" s="481"/>
      <c r="G917" s="481"/>
      <c r="H917" s="481"/>
      <c r="I917" s="481"/>
      <c r="J917" s="482"/>
    </row>
    <row r="918" spans="1:10" x14ac:dyDescent="0.25">
      <c r="A918" s="480"/>
      <c r="B918" s="481"/>
      <c r="C918" s="481"/>
      <c r="D918" s="481"/>
      <c r="E918" s="481"/>
      <c r="F918" s="481"/>
      <c r="G918" s="481"/>
      <c r="H918" s="481"/>
      <c r="I918" s="481"/>
      <c r="J918" s="482"/>
    </row>
    <row r="919" spans="1:10" x14ac:dyDescent="0.25">
      <c r="A919" s="480"/>
      <c r="B919" s="481"/>
      <c r="C919" s="481"/>
      <c r="D919" s="481"/>
      <c r="E919" s="481"/>
      <c r="F919" s="481"/>
      <c r="G919" s="481"/>
      <c r="H919" s="481"/>
      <c r="I919" s="481"/>
      <c r="J919" s="482"/>
    </row>
    <row r="920" spans="1:10" x14ac:dyDescent="0.25">
      <c r="A920" s="480"/>
      <c r="B920" s="481"/>
      <c r="C920" s="481"/>
      <c r="D920" s="481"/>
      <c r="E920" s="481"/>
      <c r="F920" s="481"/>
      <c r="G920" s="481"/>
      <c r="H920" s="481"/>
      <c r="I920" s="481"/>
      <c r="J920" s="482"/>
    </row>
    <row r="921" spans="1:10" x14ac:dyDescent="0.25">
      <c r="A921" s="480"/>
      <c r="B921" s="481"/>
      <c r="C921" s="481"/>
      <c r="D921" s="481"/>
      <c r="E921" s="481"/>
      <c r="F921" s="481"/>
      <c r="G921" s="481"/>
      <c r="H921" s="481"/>
      <c r="I921" s="481"/>
      <c r="J921" s="482"/>
    </row>
    <row r="922" spans="1:10" x14ac:dyDescent="0.25">
      <c r="A922" s="480"/>
      <c r="B922" s="481"/>
      <c r="C922" s="481"/>
      <c r="D922" s="481"/>
      <c r="E922" s="481"/>
      <c r="F922" s="481"/>
      <c r="G922" s="481"/>
      <c r="H922" s="481"/>
      <c r="I922" s="481"/>
      <c r="J922" s="482"/>
    </row>
    <row r="923" spans="1:10" x14ac:dyDescent="0.25">
      <c r="A923" s="480"/>
      <c r="B923" s="481"/>
      <c r="C923" s="481"/>
      <c r="D923" s="481"/>
      <c r="E923" s="481"/>
      <c r="F923" s="481"/>
      <c r="G923" s="481"/>
      <c r="H923" s="481"/>
      <c r="I923" s="481"/>
      <c r="J923" s="482"/>
    </row>
    <row r="924" spans="1:10" x14ac:dyDescent="0.25">
      <c r="A924" s="483"/>
      <c r="B924" s="484"/>
      <c r="C924" s="484"/>
      <c r="D924" s="484"/>
      <c r="E924" s="484"/>
      <c r="F924" s="484"/>
      <c r="G924" s="484"/>
      <c r="H924" s="484"/>
      <c r="I924" s="484"/>
      <c r="J924" s="485"/>
    </row>
    <row r="926" spans="1:10" ht="15.6" x14ac:dyDescent="0.3">
      <c r="A926" s="351"/>
      <c r="B926" s="352"/>
      <c r="C926" s="352"/>
      <c r="D926" s="352"/>
      <c r="E926" s="352"/>
      <c r="F926" s="352"/>
      <c r="G926" s="352"/>
      <c r="H926" s="349" t="str">
        <f>'CONTACT INFORMATION'!$A$24</f>
        <v>Fresno</v>
      </c>
      <c r="I926" s="349"/>
      <c r="J926" s="350"/>
    </row>
    <row r="927" spans="1:10" ht="8.6999999999999993" customHeight="1" x14ac:dyDescent="0.25">
      <c r="A927" s="163"/>
      <c r="B927" s="163"/>
      <c r="C927" s="163"/>
      <c r="D927" s="163"/>
      <c r="E927" s="163"/>
      <c r="F927" s="163"/>
      <c r="G927" s="163"/>
      <c r="H927" s="163"/>
      <c r="I927" s="163"/>
      <c r="J927" s="163"/>
    </row>
    <row r="928" spans="1:10" ht="13.8" x14ac:dyDescent="0.25">
      <c r="A928" s="458" t="s">
        <v>869</v>
      </c>
      <c r="B928" s="459"/>
      <c r="C928" s="459"/>
      <c r="D928" s="459"/>
      <c r="E928" s="459"/>
      <c r="F928" s="459"/>
      <c r="G928" s="459"/>
      <c r="H928" s="459"/>
      <c r="I928" s="459"/>
      <c r="J928" s="460"/>
    </row>
    <row r="929" spans="1:10" x14ac:dyDescent="0.25">
      <c r="A929" s="455" t="s">
        <v>854</v>
      </c>
      <c r="B929" s="456"/>
      <c r="C929" s="456"/>
      <c r="D929" s="457"/>
      <c r="E929" s="527" t="s">
        <v>948</v>
      </c>
      <c r="F929" s="528"/>
      <c r="G929" s="528"/>
      <c r="H929" s="528"/>
      <c r="I929" s="528"/>
      <c r="J929" s="529"/>
    </row>
    <row r="930" spans="1:10" x14ac:dyDescent="0.25">
      <c r="A930" s="495" t="s">
        <v>853</v>
      </c>
      <c r="B930" s="496"/>
      <c r="C930" s="496"/>
      <c r="D930" s="497"/>
      <c r="E930" s="530"/>
      <c r="F930" s="531"/>
      <c r="G930" s="531"/>
      <c r="H930" s="531"/>
      <c r="I930" s="531"/>
      <c r="J930" s="532"/>
    </row>
    <row r="931" spans="1:10" x14ac:dyDescent="0.25">
      <c r="A931" s="524" t="s">
        <v>808</v>
      </c>
      <c r="B931" s="525"/>
      <c r="C931" s="525"/>
      <c r="D931" s="526"/>
      <c r="E931" s="471" t="s">
        <v>489</v>
      </c>
      <c r="F931" s="472"/>
      <c r="G931" s="472"/>
      <c r="H931" s="472"/>
      <c r="I931" s="472"/>
      <c r="J931" s="473"/>
    </row>
    <row r="932" spans="1:10" ht="27" customHeight="1" x14ac:dyDescent="0.25">
      <c r="A932" s="157"/>
      <c r="B932" s="208"/>
      <c r="C932" s="208"/>
      <c r="D932" s="208"/>
      <c r="E932" s="474" t="s">
        <v>535</v>
      </c>
      <c r="F932" s="475"/>
      <c r="G932" s="474" t="s">
        <v>533</v>
      </c>
      <c r="H932" s="475"/>
      <c r="I932" s="476" t="s">
        <v>849</v>
      </c>
      <c r="J932" s="477"/>
    </row>
    <row r="933" spans="1:10" x14ac:dyDescent="0.25">
      <c r="A933" s="441" t="s">
        <v>527</v>
      </c>
      <c r="B933" s="442"/>
      <c r="C933" s="442"/>
      <c r="D933" s="443"/>
      <c r="E933" s="449">
        <v>136733</v>
      </c>
      <c r="F933" s="449"/>
      <c r="G933" s="449"/>
      <c r="H933" s="449"/>
      <c r="I933" s="450"/>
      <c r="J933" s="450"/>
    </row>
    <row r="934" spans="1:10" x14ac:dyDescent="0.25">
      <c r="A934" s="445" t="s">
        <v>528</v>
      </c>
      <c r="B934" s="446"/>
      <c r="C934" s="446"/>
      <c r="D934" s="447"/>
      <c r="E934" s="432">
        <v>8781</v>
      </c>
      <c r="F934" s="432"/>
      <c r="G934" s="433"/>
      <c r="H934" s="433"/>
      <c r="I934" s="448"/>
      <c r="J934" s="448"/>
    </row>
    <row r="935" spans="1:10" x14ac:dyDescent="0.25">
      <c r="A935" s="441" t="s">
        <v>529</v>
      </c>
      <c r="B935" s="442"/>
      <c r="C935" s="442"/>
      <c r="D935" s="443"/>
      <c r="E935" s="449"/>
      <c r="F935" s="449"/>
      <c r="G935" s="449"/>
      <c r="H935" s="449"/>
      <c r="I935" s="450"/>
      <c r="J935" s="450"/>
    </row>
    <row r="936" spans="1:10" x14ac:dyDescent="0.25">
      <c r="A936" s="445" t="s">
        <v>530</v>
      </c>
      <c r="B936" s="446"/>
      <c r="C936" s="446"/>
      <c r="D936" s="447"/>
      <c r="E936" s="432"/>
      <c r="F936" s="432"/>
      <c r="G936" s="433"/>
      <c r="H936" s="433"/>
      <c r="I936" s="448"/>
      <c r="J936" s="448"/>
    </row>
    <row r="937" spans="1:10" x14ac:dyDescent="0.25">
      <c r="A937" s="441" t="s">
        <v>531</v>
      </c>
      <c r="B937" s="442"/>
      <c r="C937" s="442"/>
      <c r="D937" s="443"/>
      <c r="E937" s="449"/>
      <c r="F937" s="449"/>
      <c r="G937" s="449"/>
      <c r="H937" s="449"/>
      <c r="I937" s="450"/>
      <c r="J937" s="450"/>
    </row>
    <row r="938" spans="1:10" x14ac:dyDescent="0.25">
      <c r="A938" s="445" t="s">
        <v>532</v>
      </c>
      <c r="B938" s="446"/>
      <c r="C938" s="446"/>
      <c r="D938" s="447"/>
      <c r="E938" s="432">
        <v>728</v>
      </c>
      <c r="F938" s="432"/>
      <c r="G938" s="433"/>
      <c r="H938" s="433"/>
      <c r="I938" s="448"/>
      <c r="J938" s="448"/>
    </row>
    <row r="939" spans="1:10" x14ac:dyDescent="0.25">
      <c r="A939" s="441" t="s">
        <v>537</v>
      </c>
      <c r="B939" s="442"/>
      <c r="C939" s="442"/>
      <c r="D939" s="443"/>
      <c r="E939" s="444"/>
      <c r="F939" s="444"/>
      <c r="G939" s="444"/>
      <c r="H939" s="444"/>
      <c r="I939" s="438"/>
      <c r="J939" s="438"/>
    </row>
    <row r="940" spans="1:10" x14ac:dyDescent="0.25">
      <c r="A940" s="429"/>
      <c r="B940" s="430"/>
      <c r="C940" s="430"/>
      <c r="D940" s="431"/>
      <c r="E940" s="432"/>
      <c r="F940" s="432"/>
      <c r="G940" s="433"/>
      <c r="H940" s="433"/>
      <c r="I940" s="433"/>
      <c r="J940" s="433"/>
    </row>
    <row r="941" spans="1:10" x14ac:dyDescent="0.25">
      <c r="A941" s="429"/>
      <c r="B941" s="430"/>
      <c r="C941" s="430"/>
      <c r="D941" s="431"/>
      <c r="E941" s="432"/>
      <c r="F941" s="432"/>
      <c r="G941" s="433"/>
      <c r="H941" s="433"/>
      <c r="I941" s="433"/>
      <c r="J941" s="433"/>
    </row>
    <row r="942" spans="1:10" x14ac:dyDescent="0.25">
      <c r="A942" s="429"/>
      <c r="B942" s="430"/>
      <c r="C942" s="430"/>
      <c r="D942" s="431"/>
      <c r="E942" s="432"/>
      <c r="F942" s="432"/>
      <c r="G942" s="433"/>
      <c r="H942" s="433"/>
      <c r="I942" s="433"/>
      <c r="J942" s="433"/>
    </row>
    <row r="943" spans="1:10" x14ac:dyDescent="0.25">
      <c r="A943" s="434" t="s">
        <v>534</v>
      </c>
      <c r="B943" s="435"/>
      <c r="C943" s="435"/>
      <c r="D943" s="436"/>
      <c r="E943" s="437">
        <f>SUM(E933:E942)</f>
        <v>146242</v>
      </c>
      <c r="F943" s="437"/>
      <c r="G943" s="437">
        <f>SUM(G933:G942)</f>
        <v>0</v>
      </c>
      <c r="H943" s="437"/>
      <c r="I943" s="437">
        <f>SUM(I933:I942)</f>
        <v>0</v>
      </c>
      <c r="J943" s="437"/>
    </row>
    <row r="944" spans="1:10" x14ac:dyDescent="0.25">
      <c r="A944" s="486" t="s">
        <v>861</v>
      </c>
      <c r="B944" s="487"/>
      <c r="C944" s="487"/>
      <c r="D944" s="487"/>
      <c r="E944" s="487"/>
      <c r="F944" s="487"/>
      <c r="G944" s="487"/>
      <c r="H944" s="487"/>
      <c r="I944" s="487"/>
      <c r="J944" s="488"/>
    </row>
    <row r="945" spans="1:10" x14ac:dyDescent="0.25">
      <c r="A945" s="489" t="s">
        <v>862</v>
      </c>
      <c r="B945" s="490"/>
      <c r="C945" s="490"/>
      <c r="D945" s="490"/>
      <c r="E945" s="490"/>
      <c r="F945" s="490"/>
      <c r="G945" s="490"/>
      <c r="H945" s="490"/>
      <c r="I945" s="490"/>
      <c r="J945" s="491"/>
    </row>
    <row r="946" spans="1:10" x14ac:dyDescent="0.25">
      <c r="A946" s="489" t="s">
        <v>863</v>
      </c>
      <c r="B946" s="490"/>
      <c r="C946" s="490"/>
      <c r="D946" s="490"/>
      <c r="E946" s="490"/>
      <c r="F946" s="490"/>
      <c r="G946" s="490"/>
      <c r="H946" s="490"/>
      <c r="I946" s="490"/>
      <c r="J946" s="491"/>
    </row>
    <row r="947" spans="1:10" x14ac:dyDescent="0.25">
      <c r="A947" s="492" t="s">
        <v>864</v>
      </c>
      <c r="B947" s="493"/>
      <c r="C947" s="493"/>
      <c r="D947" s="493"/>
      <c r="E947" s="493"/>
      <c r="F947" s="493"/>
      <c r="G947" s="493"/>
      <c r="H947" s="493"/>
      <c r="I947" s="493"/>
      <c r="J947" s="494"/>
    </row>
    <row r="948" spans="1:10" x14ac:dyDescent="0.25">
      <c r="A948" s="300" t="s">
        <v>966</v>
      </c>
      <c r="B948" s="478"/>
      <c r="C948" s="478"/>
      <c r="D948" s="478"/>
      <c r="E948" s="478"/>
      <c r="F948" s="478"/>
      <c r="G948" s="478"/>
      <c r="H948" s="478"/>
      <c r="I948" s="478"/>
      <c r="J948" s="479"/>
    </row>
    <row r="949" spans="1:10" x14ac:dyDescent="0.25">
      <c r="A949" s="480"/>
      <c r="B949" s="481"/>
      <c r="C949" s="481"/>
      <c r="D949" s="481"/>
      <c r="E949" s="481"/>
      <c r="F949" s="481"/>
      <c r="G949" s="481"/>
      <c r="H949" s="481"/>
      <c r="I949" s="481"/>
      <c r="J949" s="482"/>
    </row>
    <row r="950" spans="1:10" x14ac:dyDescent="0.25">
      <c r="A950" s="480"/>
      <c r="B950" s="481"/>
      <c r="C950" s="481"/>
      <c r="D950" s="481"/>
      <c r="E950" s="481"/>
      <c r="F950" s="481"/>
      <c r="G950" s="481"/>
      <c r="H950" s="481"/>
      <c r="I950" s="481"/>
      <c r="J950" s="482"/>
    </row>
    <row r="951" spans="1:10" x14ac:dyDescent="0.25">
      <c r="A951" s="480"/>
      <c r="B951" s="481"/>
      <c r="C951" s="481"/>
      <c r="D951" s="481"/>
      <c r="E951" s="481"/>
      <c r="F951" s="481"/>
      <c r="G951" s="481"/>
      <c r="H951" s="481"/>
      <c r="I951" s="481"/>
      <c r="J951" s="482"/>
    </row>
    <row r="952" spans="1:10" x14ac:dyDescent="0.25">
      <c r="A952" s="480"/>
      <c r="B952" s="481"/>
      <c r="C952" s="481"/>
      <c r="D952" s="481"/>
      <c r="E952" s="481"/>
      <c r="F952" s="481"/>
      <c r="G952" s="481"/>
      <c r="H952" s="481"/>
      <c r="I952" s="481"/>
      <c r="J952" s="482"/>
    </row>
    <row r="953" spans="1:10" x14ac:dyDescent="0.25">
      <c r="A953" s="480"/>
      <c r="B953" s="481"/>
      <c r="C953" s="481"/>
      <c r="D953" s="481"/>
      <c r="E953" s="481"/>
      <c r="F953" s="481"/>
      <c r="G953" s="481"/>
      <c r="H953" s="481"/>
      <c r="I953" s="481"/>
      <c r="J953" s="482"/>
    </row>
    <row r="954" spans="1:10" x14ac:dyDescent="0.25">
      <c r="A954" s="480"/>
      <c r="B954" s="481"/>
      <c r="C954" s="481"/>
      <c r="D954" s="481"/>
      <c r="E954" s="481"/>
      <c r="F954" s="481"/>
      <c r="G954" s="481"/>
      <c r="H954" s="481"/>
      <c r="I954" s="481"/>
      <c r="J954" s="482"/>
    </row>
    <row r="955" spans="1:10" x14ac:dyDescent="0.25">
      <c r="A955" s="480"/>
      <c r="B955" s="481"/>
      <c r="C955" s="481"/>
      <c r="D955" s="481"/>
      <c r="E955" s="481"/>
      <c r="F955" s="481"/>
      <c r="G955" s="481"/>
      <c r="H955" s="481"/>
      <c r="I955" s="481"/>
      <c r="J955" s="482"/>
    </row>
    <row r="956" spans="1:10" x14ac:dyDescent="0.25">
      <c r="A956" s="480"/>
      <c r="B956" s="481"/>
      <c r="C956" s="481"/>
      <c r="D956" s="481"/>
      <c r="E956" s="481"/>
      <c r="F956" s="481"/>
      <c r="G956" s="481"/>
      <c r="H956" s="481"/>
      <c r="I956" s="481"/>
      <c r="J956" s="482"/>
    </row>
    <row r="957" spans="1:10" x14ac:dyDescent="0.25">
      <c r="A957" s="480"/>
      <c r="B957" s="481"/>
      <c r="C957" s="481"/>
      <c r="D957" s="481"/>
      <c r="E957" s="481"/>
      <c r="F957" s="481"/>
      <c r="G957" s="481"/>
      <c r="H957" s="481"/>
      <c r="I957" s="481"/>
      <c r="J957" s="482"/>
    </row>
    <row r="958" spans="1:10" x14ac:dyDescent="0.25">
      <c r="A958" s="480"/>
      <c r="B958" s="481"/>
      <c r="C958" s="481"/>
      <c r="D958" s="481"/>
      <c r="E958" s="481"/>
      <c r="F958" s="481"/>
      <c r="G958" s="481"/>
      <c r="H958" s="481"/>
      <c r="I958" s="481"/>
      <c r="J958" s="482"/>
    </row>
    <row r="959" spans="1:10" x14ac:dyDescent="0.25">
      <c r="A959" s="480"/>
      <c r="B959" s="481"/>
      <c r="C959" s="481"/>
      <c r="D959" s="481"/>
      <c r="E959" s="481"/>
      <c r="F959" s="481"/>
      <c r="G959" s="481"/>
      <c r="H959" s="481"/>
      <c r="I959" s="481"/>
      <c r="J959" s="482"/>
    </row>
    <row r="960" spans="1:10" x14ac:dyDescent="0.25">
      <c r="A960" s="480"/>
      <c r="B960" s="481"/>
      <c r="C960" s="481"/>
      <c r="D960" s="481"/>
      <c r="E960" s="481"/>
      <c r="F960" s="481"/>
      <c r="G960" s="481"/>
      <c r="H960" s="481"/>
      <c r="I960" s="481"/>
      <c r="J960" s="482"/>
    </row>
    <row r="961" spans="1:10" x14ac:dyDescent="0.25">
      <c r="A961" s="480"/>
      <c r="B961" s="481"/>
      <c r="C961" s="481"/>
      <c r="D961" s="481"/>
      <c r="E961" s="481"/>
      <c r="F961" s="481"/>
      <c r="G961" s="481"/>
      <c r="H961" s="481"/>
      <c r="I961" s="481"/>
      <c r="J961" s="482"/>
    </row>
    <row r="962" spans="1:10" x14ac:dyDescent="0.25">
      <c r="A962" s="480"/>
      <c r="B962" s="481"/>
      <c r="C962" s="481"/>
      <c r="D962" s="481"/>
      <c r="E962" s="481"/>
      <c r="F962" s="481"/>
      <c r="G962" s="481"/>
      <c r="H962" s="481"/>
      <c r="I962" s="481"/>
      <c r="J962" s="482"/>
    </row>
    <row r="963" spans="1:10" x14ac:dyDescent="0.25">
      <c r="A963" s="480"/>
      <c r="B963" s="481"/>
      <c r="C963" s="481"/>
      <c r="D963" s="481"/>
      <c r="E963" s="481"/>
      <c r="F963" s="481"/>
      <c r="G963" s="481"/>
      <c r="H963" s="481"/>
      <c r="I963" s="481"/>
      <c r="J963" s="482"/>
    </row>
    <row r="964" spans="1:10" x14ac:dyDescent="0.25">
      <c r="A964" s="480"/>
      <c r="B964" s="481"/>
      <c r="C964" s="481"/>
      <c r="D964" s="481"/>
      <c r="E964" s="481"/>
      <c r="F964" s="481"/>
      <c r="G964" s="481"/>
      <c r="H964" s="481"/>
      <c r="I964" s="481"/>
      <c r="J964" s="482"/>
    </row>
    <row r="965" spans="1:10" x14ac:dyDescent="0.25">
      <c r="A965" s="480"/>
      <c r="B965" s="481"/>
      <c r="C965" s="481"/>
      <c r="D965" s="481"/>
      <c r="E965" s="481"/>
      <c r="F965" s="481"/>
      <c r="G965" s="481"/>
      <c r="H965" s="481"/>
      <c r="I965" s="481"/>
      <c r="J965" s="482"/>
    </row>
    <row r="966" spans="1:10" x14ac:dyDescent="0.25">
      <c r="A966" s="480"/>
      <c r="B966" s="481"/>
      <c r="C966" s="481"/>
      <c r="D966" s="481"/>
      <c r="E966" s="481"/>
      <c r="F966" s="481"/>
      <c r="G966" s="481"/>
      <c r="H966" s="481"/>
      <c r="I966" s="481"/>
      <c r="J966" s="482"/>
    </row>
    <row r="967" spans="1:10" x14ac:dyDescent="0.25">
      <c r="A967" s="480"/>
      <c r="B967" s="481"/>
      <c r="C967" s="481"/>
      <c r="D967" s="481"/>
      <c r="E967" s="481"/>
      <c r="F967" s="481"/>
      <c r="G967" s="481"/>
      <c r="H967" s="481"/>
      <c r="I967" s="481"/>
      <c r="J967" s="482"/>
    </row>
    <row r="968" spans="1:10" x14ac:dyDescent="0.25">
      <c r="A968" s="480"/>
      <c r="B968" s="481"/>
      <c r="C968" s="481"/>
      <c r="D968" s="481"/>
      <c r="E968" s="481"/>
      <c r="F968" s="481"/>
      <c r="G968" s="481"/>
      <c r="H968" s="481"/>
      <c r="I968" s="481"/>
      <c r="J968" s="482"/>
    </row>
    <row r="969" spans="1:10" x14ac:dyDescent="0.25">
      <c r="A969" s="480"/>
      <c r="B969" s="481"/>
      <c r="C969" s="481"/>
      <c r="D969" s="481"/>
      <c r="E969" s="481"/>
      <c r="F969" s="481"/>
      <c r="G969" s="481"/>
      <c r="H969" s="481"/>
      <c r="I969" s="481"/>
      <c r="J969" s="482"/>
    </row>
    <row r="970" spans="1:10" x14ac:dyDescent="0.25">
      <c r="A970" s="480"/>
      <c r="B970" s="481"/>
      <c r="C970" s="481"/>
      <c r="D970" s="481"/>
      <c r="E970" s="481"/>
      <c r="F970" s="481"/>
      <c r="G970" s="481"/>
      <c r="H970" s="481"/>
      <c r="I970" s="481"/>
      <c r="J970" s="482"/>
    </row>
    <row r="971" spans="1:10" x14ac:dyDescent="0.25">
      <c r="A971" s="480"/>
      <c r="B971" s="481"/>
      <c r="C971" s="481"/>
      <c r="D971" s="481"/>
      <c r="E971" s="481"/>
      <c r="F971" s="481"/>
      <c r="G971" s="481"/>
      <c r="H971" s="481"/>
      <c r="I971" s="481"/>
      <c r="J971" s="482"/>
    </row>
    <row r="972" spans="1:10" x14ac:dyDescent="0.25">
      <c r="A972" s="480"/>
      <c r="B972" s="481"/>
      <c r="C972" s="481"/>
      <c r="D972" s="481"/>
      <c r="E972" s="481"/>
      <c r="F972" s="481"/>
      <c r="G972" s="481"/>
      <c r="H972" s="481"/>
      <c r="I972" s="481"/>
      <c r="J972" s="482"/>
    </row>
    <row r="973" spans="1:10" x14ac:dyDescent="0.25">
      <c r="A973" s="480"/>
      <c r="B973" s="481"/>
      <c r="C973" s="481"/>
      <c r="D973" s="481"/>
      <c r="E973" s="481"/>
      <c r="F973" s="481"/>
      <c r="G973" s="481"/>
      <c r="H973" s="481"/>
      <c r="I973" s="481"/>
      <c r="J973" s="482"/>
    </row>
    <row r="974" spans="1:10" x14ac:dyDescent="0.25">
      <c r="A974" s="480"/>
      <c r="B974" s="481"/>
      <c r="C974" s="481"/>
      <c r="D974" s="481"/>
      <c r="E974" s="481"/>
      <c r="F974" s="481"/>
      <c r="G974" s="481"/>
      <c r="H974" s="481"/>
      <c r="I974" s="481"/>
      <c r="J974" s="482"/>
    </row>
    <row r="975" spans="1:10" x14ac:dyDescent="0.25">
      <c r="A975" s="480"/>
      <c r="B975" s="481"/>
      <c r="C975" s="481"/>
      <c r="D975" s="481"/>
      <c r="E975" s="481"/>
      <c r="F975" s="481"/>
      <c r="G975" s="481"/>
      <c r="H975" s="481"/>
      <c r="I975" s="481"/>
      <c r="J975" s="482"/>
    </row>
    <row r="976" spans="1:10" x14ac:dyDescent="0.25">
      <c r="A976" s="480"/>
      <c r="B976" s="481"/>
      <c r="C976" s="481"/>
      <c r="D976" s="481"/>
      <c r="E976" s="481"/>
      <c r="F976" s="481"/>
      <c r="G976" s="481"/>
      <c r="H976" s="481"/>
      <c r="I976" s="481"/>
      <c r="J976" s="482"/>
    </row>
    <row r="977" spans="1:10" x14ac:dyDescent="0.25">
      <c r="A977" s="480"/>
      <c r="B977" s="481"/>
      <c r="C977" s="481"/>
      <c r="D977" s="481"/>
      <c r="E977" s="481"/>
      <c r="F977" s="481"/>
      <c r="G977" s="481"/>
      <c r="H977" s="481"/>
      <c r="I977" s="481"/>
      <c r="J977" s="482"/>
    </row>
    <row r="978" spans="1:10" x14ac:dyDescent="0.25">
      <c r="A978" s="480"/>
      <c r="B978" s="481"/>
      <c r="C978" s="481"/>
      <c r="D978" s="481"/>
      <c r="E978" s="481"/>
      <c r="F978" s="481"/>
      <c r="G978" s="481"/>
      <c r="H978" s="481"/>
      <c r="I978" s="481"/>
      <c r="J978" s="482"/>
    </row>
    <row r="979" spans="1:10" x14ac:dyDescent="0.25">
      <c r="A979" s="480"/>
      <c r="B979" s="481"/>
      <c r="C979" s="481"/>
      <c r="D979" s="481"/>
      <c r="E979" s="481"/>
      <c r="F979" s="481"/>
      <c r="G979" s="481"/>
      <c r="H979" s="481"/>
      <c r="I979" s="481"/>
      <c r="J979" s="482"/>
    </row>
    <row r="980" spans="1:10" x14ac:dyDescent="0.25">
      <c r="A980" s="480"/>
      <c r="B980" s="481"/>
      <c r="C980" s="481"/>
      <c r="D980" s="481"/>
      <c r="E980" s="481"/>
      <c r="F980" s="481"/>
      <c r="G980" s="481"/>
      <c r="H980" s="481"/>
      <c r="I980" s="481"/>
      <c r="J980" s="482"/>
    </row>
    <row r="981" spans="1:10" x14ac:dyDescent="0.25">
      <c r="A981" s="480"/>
      <c r="B981" s="481"/>
      <c r="C981" s="481"/>
      <c r="D981" s="481"/>
      <c r="E981" s="481"/>
      <c r="F981" s="481"/>
      <c r="G981" s="481"/>
      <c r="H981" s="481"/>
      <c r="I981" s="481"/>
      <c r="J981" s="482"/>
    </row>
    <row r="982" spans="1:10" x14ac:dyDescent="0.25">
      <c r="A982" s="483"/>
      <c r="B982" s="484"/>
      <c r="C982" s="484"/>
      <c r="D982" s="484"/>
      <c r="E982" s="484"/>
      <c r="F982" s="484"/>
      <c r="G982" s="484"/>
      <c r="H982" s="484"/>
      <c r="I982" s="484"/>
      <c r="J982" s="485"/>
    </row>
    <row r="985" spans="1:10" ht="8.1" customHeight="1" x14ac:dyDescent="0.25"/>
    <row r="990" spans="1:10" ht="27" customHeight="1" x14ac:dyDescent="0.25"/>
    <row r="1043" ht="8.1" customHeight="1" x14ac:dyDescent="0.25"/>
    <row r="1048" ht="27" customHeight="1" x14ac:dyDescent="0.25"/>
    <row r="1101" ht="8.1" customHeight="1" x14ac:dyDescent="0.25"/>
    <row r="1106" ht="27" customHeight="1" x14ac:dyDescent="0.25"/>
    <row r="1159" ht="8.1" customHeight="1" x14ac:dyDescent="0.25"/>
    <row r="1164" ht="27" customHeight="1" x14ac:dyDescent="0.25"/>
    <row r="1217" ht="8.1" customHeight="1" x14ac:dyDescent="0.25"/>
    <row r="1222" ht="27" customHeight="1" x14ac:dyDescent="0.25"/>
  </sheetData>
  <sheetProtection selectLockedCells="1"/>
  <mergeCells count="925">
    <mergeCell ref="A945:J945"/>
    <mergeCell ref="A946:J946"/>
    <mergeCell ref="A947:J947"/>
    <mergeCell ref="A948:J982"/>
    <mergeCell ref="A942:D942"/>
    <mergeCell ref="E942:F942"/>
    <mergeCell ref="G942:H942"/>
    <mergeCell ref="I942:J942"/>
    <mergeCell ref="A943:D943"/>
    <mergeCell ref="E943:F943"/>
    <mergeCell ref="G943:H943"/>
    <mergeCell ref="I943:J943"/>
    <mergeCell ref="A944:J944"/>
    <mergeCell ref="A939:D939"/>
    <mergeCell ref="E939:F939"/>
    <mergeCell ref="G939:H939"/>
    <mergeCell ref="I939:J939"/>
    <mergeCell ref="A940:D940"/>
    <mergeCell ref="E940:F940"/>
    <mergeCell ref="G940:H940"/>
    <mergeCell ref="I940:J940"/>
    <mergeCell ref="A941:D941"/>
    <mergeCell ref="E941:F941"/>
    <mergeCell ref="G941:H941"/>
    <mergeCell ref="I941:J941"/>
    <mergeCell ref="A936:D936"/>
    <mergeCell ref="E936:F936"/>
    <mergeCell ref="G936:H936"/>
    <mergeCell ref="I936:J936"/>
    <mergeCell ref="A937:D937"/>
    <mergeCell ref="E937:F937"/>
    <mergeCell ref="G937:H937"/>
    <mergeCell ref="I937:J937"/>
    <mergeCell ref="A938:D938"/>
    <mergeCell ref="E938:F938"/>
    <mergeCell ref="G938:H938"/>
    <mergeCell ref="I938:J938"/>
    <mergeCell ref="A933:D933"/>
    <mergeCell ref="E933:F933"/>
    <mergeCell ref="G933:H933"/>
    <mergeCell ref="I933:J933"/>
    <mergeCell ref="A934:D934"/>
    <mergeCell ref="E934:F934"/>
    <mergeCell ref="G934:H934"/>
    <mergeCell ref="I934:J934"/>
    <mergeCell ref="A935:D935"/>
    <mergeCell ref="E935:F935"/>
    <mergeCell ref="G935:H935"/>
    <mergeCell ref="I935:J935"/>
    <mergeCell ref="A926:G926"/>
    <mergeCell ref="H926:J926"/>
    <mergeCell ref="A928:J928"/>
    <mergeCell ref="A929:D929"/>
    <mergeCell ref="E929:J930"/>
    <mergeCell ref="A930:D930"/>
    <mergeCell ref="A931:D931"/>
    <mergeCell ref="E931:J931"/>
    <mergeCell ref="E932:F932"/>
    <mergeCell ref="G932:H932"/>
    <mergeCell ref="I932:J932"/>
    <mergeCell ref="A885:D885"/>
    <mergeCell ref="E885:F885"/>
    <mergeCell ref="G885:H885"/>
    <mergeCell ref="I885:J885"/>
    <mergeCell ref="A886:J886"/>
    <mergeCell ref="A887:J887"/>
    <mergeCell ref="A888:J888"/>
    <mergeCell ref="A889:J889"/>
    <mergeCell ref="A890:J924"/>
    <mergeCell ref="A882:D882"/>
    <mergeCell ref="E882:F882"/>
    <mergeCell ref="G882:H882"/>
    <mergeCell ref="I882:J882"/>
    <mergeCell ref="A883:D883"/>
    <mergeCell ref="E883:F883"/>
    <mergeCell ref="G883:H883"/>
    <mergeCell ref="I883:J883"/>
    <mergeCell ref="A884:D884"/>
    <mergeCell ref="E884:F884"/>
    <mergeCell ref="G884:H884"/>
    <mergeCell ref="I884:J884"/>
    <mergeCell ref="A879:D879"/>
    <mergeCell ref="E879:F879"/>
    <mergeCell ref="G879:H879"/>
    <mergeCell ref="I879:J879"/>
    <mergeCell ref="A880:D880"/>
    <mergeCell ref="E880:F880"/>
    <mergeCell ref="G880:H880"/>
    <mergeCell ref="I880:J880"/>
    <mergeCell ref="A881:D881"/>
    <mergeCell ref="E881:F881"/>
    <mergeCell ref="G881:H881"/>
    <mergeCell ref="I881:J881"/>
    <mergeCell ref="A876:D876"/>
    <mergeCell ref="E876:F876"/>
    <mergeCell ref="G876:H876"/>
    <mergeCell ref="I876:J876"/>
    <mergeCell ref="A877:D877"/>
    <mergeCell ref="E877:F877"/>
    <mergeCell ref="G877:H877"/>
    <mergeCell ref="I877:J877"/>
    <mergeCell ref="A878:D878"/>
    <mergeCell ref="E878:F878"/>
    <mergeCell ref="G878:H878"/>
    <mergeCell ref="I878:J878"/>
    <mergeCell ref="A873:D873"/>
    <mergeCell ref="E873:J873"/>
    <mergeCell ref="E874:F874"/>
    <mergeCell ref="G874:H874"/>
    <mergeCell ref="I874:J874"/>
    <mergeCell ref="A875:D875"/>
    <mergeCell ref="E875:F875"/>
    <mergeCell ref="G875:H875"/>
    <mergeCell ref="I875:J875"/>
    <mergeCell ref="A829:J829"/>
    <mergeCell ref="A830:J830"/>
    <mergeCell ref="A831:J831"/>
    <mergeCell ref="A832:J866"/>
    <mergeCell ref="A868:G868"/>
    <mergeCell ref="H868:J868"/>
    <mergeCell ref="A870:J870"/>
    <mergeCell ref="A871:D871"/>
    <mergeCell ref="E871:J872"/>
    <mergeCell ref="A872:D872"/>
    <mergeCell ref="A826:D826"/>
    <mergeCell ref="E826:F826"/>
    <mergeCell ref="G826:H826"/>
    <mergeCell ref="I826:J826"/>
    <mergeCell ref="A827:D827"/>
    <mergeCell ref="E827:F827"/>
    <mergeCell ref="G827:H827"/>
    <mergeCell ref="I827:J827"/>
    <mergeCell ref="A828:J828"/>
    <mergeCell ref="A823:D823"/>
    <mergeCell ref="E823:F823"/>
    <mergeCell ref="G823:H823"/>
    <mergeCell ref="I823:J823"/>
    <mergeCell ref="A824:D824"/>
    <mergeCell ref="E824:F824"/>
    <mergeCell ref="G824:H824"/>
    <mergeCell ref="I824:J824"/>
    <mergeCell ref="A825:D825"/>
    <mergeCell ref="E825:F825"/>
    <mergeCell ref="G825:H825"/>
    <mergeCell ref="I825:J825"/>
    <mergeCell ref="A820:D820"/>
    <mergeCell ref="E820:F820"/>
    <mergeCell ref="G820:H820"/>
    <mergeCell ref="I820:J820"/>
    <mergeCell ref="A821:D821"/>
    <mergeCell ref="E821:F821"/>
    <mergeCell ref="G821:H821"/>
    <mergeCell ref="I821:J821"/>
    <mergeCell ref="A822:D822"/>
    <mergeCell ref="E822:F822"/>
    <mergeCell ref="G822:H822"/>
    <mergeCell ref="I822:J822"/>
    <mergeCell ref="A817:D817"/>
    <mergeCell ref="E817:F817"/>
    <mergeCell ref="G817:H817"/>
    <mergeCell ref="I817:J817"/>
    <mergeCell ref="A818:D818"/>
    <mergeCell ref="E818:F818"/>
    <mergeCell ref="G818:H818"/>
    <mergeCell ref="I818:J818"/>
    <mergeCell ref="A819:D819"/>
    <mergeCell ref="E819:F819"/>
    <mergeCell ref="G819:H819"/>
    <mergeCell ref="I819:J819"/>
    <mergeCell ref="A810:G810"/>
    <mergeCell ref="H810:J810"/>
    <mergeCell ref="A812:J812"/>
    <mergeCell ref="A813:D813"/>
    <mergeCell ref="E813:J814"/>
    <mergeCell ref="A814:D814"/>
    <mergeCell ref="A815:D815"/>
    <mergeCell ref="E815:J815"/>
    <mergeCell ref="E816:F816"/>
    <mergeCell ref="G816:H816"/>
    <mergeCell ref="I816:J816"/>
    <mergeCell ref="A769:D769"/>
    <mergeCell ref="E769:F769"/>
    <mergeCell ref="G769:H769"/>
    <mergeCell ref="I769:J769"/>
    <mergeCell ref="A770:J770"/>
    <mergeCell ref="A771:J771"/>
    <mergeCell ref="A772:J772"/>
    <mergeCell ref="A773:J773"/>
    <mergeCell ref="A774:J808"/>
    <mergeCell ref="A766:D766"/>
    <mergeCell ref="E766:F766"/>
    <mergeCell ref="G766:H766"/>
    <mergeCell ref="I766:J766"/>
    <mergeCell ref="A767:D767"/>
    <mergeCell ref="E767:F767"/>
    <mergeCell ref="G767:H767"/>
    <mergeCell ref="I767:J767"/>
    <mergeCell ref="A768:D768"/>
    <mergeCell ref="E768:F768"/>
    <mergeCell ref="G768:H768"/>
    <mergeCell ref="I768:J768"/>
    <mergeCell ref="A763:D763"/>
    <mergeCell ref="E763:F763"/>
    <mergeCell ref="G763:H763"/>
    <mergeCell ref="I763:J763"/>
    <mergeCell ref="A764:D764"/>
    <mergeCell ref="E764:F764"/>
    <mergeCell ref="G764:H764"/>
    <mergeCell ref="I764:J764"/>
    <mergeCell ref="A765:D765"/>
    <mergeCell ref="E765:F765"/>
    <mergeCell ref="G765:H765"/>
    <mergeCell ref="I765:J765"/>
    <mergeCell ref="A760:D760"/>
    <mergeCell ref="E760:F760"/>
    <mergeCell ref="G760:H760"/>
    <mergeCell ref="I760:J760"/>
    <mergeCell ref="A761:D761"/>
    <mergeCell ref="E761:F761"/>
    <mergeCell ref="G761:H761"/>
    <mergeCell ref="I761:J761"/>
    <mergeCell ref="A762:D762"/>
    <mergeCell ref="E762:F762"/>
    <mergeCell ref="G762:H762"/>
    <mergeCell ref="I762:J762"/>
    <mergeCell ref="A757:D757"/>
    <mergeCell ref="E757:J757"/>
    <mergeCell ref="E758:F758"/>
    <mergeCell ref="G758:H758"/>
    <mergeCell ref="I758:J758"/>
    <mergeCell ref="A759:D759"/>
    <mergeCell ref="E759:F759"/>
    <mergeCell ref="G759:H759"/>
    <mergeCell ref="I759:J759"/>
    <mergeCell ref="A713:J713"/>
    <mergeCell ref="A714:J714"/>
    <mergeCell ref="A715:J715"/>
    <mergeCell ref="A716:J750"/>
    <mergeCell ref="A752:G752"/>
    <mergeCell ref="H752:J752"/>
    <mergeCell ref="A754:J754"/>
    <mergeCell ref="A755:D755"/>
    <mergeCell ref="E755:J756"/>
    <mergeCell ref="A756:D756"/>
    <mergeCell ref="A710:D710"/>
    <mergeCell ref="E710:F710"/>
    <mergeCell ref="G710:H710"/>
    <mergeCell ref="I710:J710"/>
    <mergeCell ref="A711:D711"/>
    <mergeCell ref="E711:F711"/>
    <mergeCell ref="G711:H711"/>
    <mergeCell ref="I711:J711"/>
    <mergeCell ref="A712:J712"/>
    <mergeCell ref="A707:D707"/>
    <mergeCell ref="E707:F707"/>
    <mergeCell ref="G707:H707"/>
    <mergeCell ref="I707:J707"/>
    <mergeCell ref="A708:D708"/>
    <mergeCell ref="E708:F708"/>
    <mergeCell ref="G708:H708"/>
    <mergeCell ref="I708:J708"/>
    <mergeCell ref="A709:D709"/>
    <mergeCell ref="E709:F709"/>
    <mergeCell ref="G709:H709"/>
    <mergeCell ref="I709:J709"/>
    <mergeCell ref="A704:D704"/>
    <mergeCell ref="E704:F704"/>
    <mergeCell ref="G704:H704"/>
    <mergeCell ref="I704:J704"/>
    <mergeCell ref="A705:D705"/>
    <mergeCell ref="E705:F705"/>
    <mergeCell ref="G705:H705"/>
    <mergeCell ref="I705:J705"/>
    <mergeCell ref="A706:D706"/>
    <mergeCell ref="E706:F706"/>
    <mergeCell ref="G706:H706"/>
    <mergeCell ref="I706:J706"/>
    <mergeCell ref="A701:D701"/>
    <mergeCell ref="E701:F701"/>
    <mergeCell ref="G701:H701"/>
    <mergeCell ref="I701:J701"/>
    <mergeCell ref="A702:D702"/>
    <mergeCell ref="E702:F702"/>
    <mergeCell ref="G702:H702"/>
    <mergeCell ref="I702:J702"/>
    <mergeCell ref="A703:D703"/>
    <mergeCell ref="E703:F703"/>
    <mergeCell ref="G703:H703"/>
    <mergeCell ref="I703:J703"/>
    <mergeCell ref="A694:G694"/>
    <mergeCell ref="H694:J694"/>
    <mergeCell ref="A696:J696"/>
    <mergeCell ref="A697:D697"/>
    <mergeCell ref="E697:J698"/>
    <mergeCell ref="A698:D698"/>
    <mergeCell ref="A699:D699"/>
    <mergeCell ref="E699:J699"/>
    <mergeCell ref="E700:F700"/>
    <mergeCell ref="G700:H700"/>
    <mergeCell ref="I700:J700"/>
    <mergeCell ref="A653:D653"/>
    <mergeCell ref="E653:F653"/>
    <mergeCell ref="G653:H653"/>
    <mergeCell ref="I653:J653"/>
    <mergeCell ref="A654:J654"/>
    <mergeCell ref="A655:J655"/>
    <mergeCell ref="A656:J656"/>
    <mergeCell ref="A657:J657"/>
    <mergeCell ref="A658:J692"/>
    <mergeCell ref="A650:D650"/>
    <mergeCell ref="E650:F650"/>
    <mergeCell ref="G650:H650"/>
    <mergeCell ref="I650:J650"/>
    <mergeCell ref="A651:D651"/>
    <mergeCell ref="E651:F651"/>
    <mergeCell ref="G651:H651"/>
    <mergeCell ref="I651:J651"/>
    <mergeCell ref="A652:D652"/>
    <mergeCell ref="E652:F652"/>
    <mergeCell ref="G652:H652"/>
    <mergeCell ref="I652:J652"/>
    <mergeCell ref="A647:D647"/>
    <mergeCell ref="E647:F647"/>
    <mergeCell ref="G647:H647"/>
    <mergeCell ref="I647:J647"/>
    <mergeCell ref="A648:D648"/>
    <mergeCell ref="E648:F648"/>
    <mergeCell ref="G648:H648"/>
    <mergeCell ref="I648:J648"/>
    <mergeCell ref="A649:D649"/>
    <mergeCell ref="E649:F649"/>
    <mergeCell ref="G649:H649"/>
    <mergeCell ref="I649:J649"/>
    <mergeCell ref="A644:D644"/>
    <mergeCell ref="E644:F644"/>
    <mergeCell ref="G644:H644"/>
    <mergeCell ref="I644:J644"/>
    <mergeCell ref="A645:D645"/>
    <mergeCell ref="E645:F645"/>
    <mergeCell ref="G645:H645"/>
    <mergeCell ref="I645:J645"/>
    <mergeCell ref="A646:D646"/>
    <mergeCell ref="E646:F646"/>
    <mergeCell ref="G646:H646"/>
    <mergeCell ref="I646:J646"/>
    <mergeCell ref="A641:D641"/>
    <mergeCell ref="E641:J641"/>
    <mergeCell ref="E642:F642"/>
    <mergeCell ref="G642:H642"/>
    <mergeCell ref="I642:J642"/>
    <mergeCell ref="A643:D643"/>
    <mergeCell ref="E643:F643"/>
    <mergeCell ref="G643:H643"/>
    <mergeCell ref="I643:J643"/>
    <mergeCell ref="A597:J597"/>
    <mergeCell ref="A598:J598"/>
    <mergeCell ref="A599:J599"/>
    <mergeCell ref="A600:J634"/>
    <mergeCell ref="A636:G636"/>
    <mergeCell ref="H636:J636"/>
    <mergeCell ref="A638:J638"/>
    <mergeCell ref="A639:D639"/>
    <mergeCell ref="E639:J640"/>
    <mergeCell ref="A640:D640"/>
    <mergeCell ref="A594:D594"/>
    <mergeCell ref="E594:F594"/>
    <mergeCell ref="G594:H594"/>
    <mergeCell ref="I594:J594"/>
    <mergeCell ref="A595:D595"/>
    <mergeCell ref="E595:F595"/>
    <mergeCell ref="G595:H595"/>
    <mergeCell ref="I595:J595"/>
    <mergeCell ref="A596:J596"/>
    <mergeCell ref="A591:D591"/>
    <mergeCell ref="E591:F591"/>
    <mergeCell ref="G591:H591"/>
    <mergeCell ref="I591:J591"/>
    <mergeCell ref="A592:D592"/>
    <mergeCell ref="E592:F592"/>
    <mergeCell ref="G592:H592"/>
    <mergeCell ref="I592:J592"/>
    <mergeCell ref="A593:D593"/>
    <mergeCell ref="E593:F593"/>
    <mergeCell ref="G593:H593"/>
    <mergeCell ref="I593:J593"/>
    <mergeCell ref="A588:D588"/>
    <mergeCell ref="E588:F588"/>
    <mergeCell ref="G588:H588"/>
    <mergeCell ref="I588:J588"/>
    <mergeCell ref="A589:D589"/>
    <mergeCell ref="E589:F589"/>
    <mergeCell ref="G589:H589"/>
    <mergeCell ref="I589:J589"/>
    <mergeCell ref="A590:D590"/>
    <mergeCell ref="E590:F590"/>
    <mergeCell ref="G590:H590"/>
    <mergeCell ref="I590:J590"/>
    <mergeCell ref="A587:D587"/>
    <mergeCell ref="E587:F587"/>
    <mergeCell ref="G587:H587"/>
    <mergeCell ref="I587:J587"/>
    <mergeCell ref="A578:G578"/>
    <mergeCell ref="H578:J578"/>
    <mergeCell ref="A585:D585"/>
    <mergeCell ref="E585:F585"/>
    <mergeCell ref="G585:H585"/>
    <mergeCell ref="I585:J585"/>
    <mergeCell ref="A580:J580"/>
    <mergeCell ref="A581:D581"/>
    <mergeCell ref="E581:J582"/>
    <mergeCell ref="A582:D582"/>
    <mergeCell ref="A583:D583"/>
    <mergeCell ref="E583:J583"/>
    <mergeCell ref="A538:J538"/>
    <mergeCell ref="A539:J539"/>
    <mergeCell ref="A540:J540"/>
    <mergeCell ref="A541:J541"/>
    <mergeCell ref="A542:J576"/>
    <mergeCell ref="A586:D586"/>
    <mergeCell ref="E586:F586"/>
    <mergeCell ref="G586:H586"/>
    <mergeCell ref="I586:J586"/>
    <mergeCell ref="E584:F584"/>
    <mergeCell ref="G584:H584"/>
    <mergeCell ref="I584:J584"/>
    <mergeCell ref="A520:G520"/>
    <mergeCell ref="H520:J520"/>
    <mergeCell ref="A522:J522"/>
    <mergeCell ref="A523:D523"/>
    <mergeCell ref="E523:J524"/>
    <mergeCell ref="A524:D524"/>
    <mergeCell ref="I528:J528"/>
    <mergeCell ref="A529:D529"/>
    <mergeCell ref="E529:F529"/>
    <mergeCell ref="G529:H529"/>
    <mergeCell ref="I529:J529"/>
    <mergeCell ref="A525:D525"/>
    <mergeCell ref="E525:J525"/>
    <mergeCell ref="E526:F526"/>
    <mergeCell ref="G526:H526"/>
    <mergeCell ref="I526:J526"/>
    <mergeCell ref="A527:D527"/>
    <mergeCell ref="E527:F527"/>
    <mergeCell ref="G527:H527"/>
    <mergeCell ref="I527:J527"/>
    <mergeCell ref="A528:D528"/>
    <mergeCell ref="E528:F528"/>
    <mergeCell ref="G528:H528"/>
    <mergeCell ref="A479:D479"/>
    <mergeCell ref="E479:F479"/>
    <mergeCell ref="G479:H479"/>
    <mergeCell ref="I479:J479"/>
    <mergeCell ref="A480:J480"/>
    <mergeCell ref="A481:J481"/>
    <mergeCell ref="A482:J482"/>
    <mergeCell ref="A483:J483"/>
    <mergeCell ref="A484:J518"/>
    <mergeCell ref="A476:D476"/>
    <mergeCell ref="E476:F476"/>
    <mergeCell ref="G476:H476"/>
    <mergeCell ref="I476:J476"/>
    <mergeCell ref="A477:D477"/>
    <mergeCell ref="E477:F477"/>
    <mergeCell ref="G477:H477"/>
    <mergeCell ref="I477:J477"/>
    <mergeCell ref="A478:D478"/>
    <mergeCell ref="E478:F478"/>
    <mergeCell ref="G478:H478"/>
    <mergeCell ref="I478:J478"/>
    <mergeCell ref="E473:F473"/>
    <mergeCell ref="G473:H473"/>
    <mergeCell ref="I473:J473"/>
    <mergeCell ref="A474:D474"/>
    <mergeCell ref="E474:F474"/>
    <mergeCell ref="G474:H474"/>
    <mergeCell ref="I474:J474"/>
    <mergeCell ref="A475:D475"/>
    <mergeCell ref="E475:F475"/>
    <mergeCell ref="G475:H475"/>
    <mergeCell ref="I475:J475"/>
    <mergeCell ref="A473:D473"/>
    <mergeCell ref="E469:F469"/>
    <mergeCell ref="G469:H469"/>
    <mergeCell ref="I469:J469"/>
    <mergeCell ref="A467:D467"/>
    <mergeCell ref="E467:J467"/>
    <mergeCell ref="E468:F468"/>
    <mergeCell ref="G468:H468"/>
    <mergeCell ref="I468:J468"/>
    <mergeCell ref="A469:D469"/>
    <mergeCell ref="A423:J423"/>
    <mergeCell ref="A424:J424"/>
    <mergeCell ref="A425:J425"/>
    <mergeCell ref="A426:J460"/>
    <mergeCell ref="A462:G462"/>
    <mergeCell ref="H462:J462"/>
    <mergeCell ref="A464:J464"/>
    <mergeCell ref="A465:D465"/>
    <mergeCell ref="E465:J466"/>
    <mergeCell ref="A466:D466"/>
    <mergeCell ref="A420:D420"/>
    <mergeCell ref="E420:F420"/>
    <mergeCell ref="G420:H420"/>
    <mergeCell ref="I420:J420"/>
    <mergeCell ref="A421:D421"/>
    <mergeCell ref="E421:F421"/>
    <mergeCell ref="G421:H421"/>
    <mergeCell ref="I421:J421"/>
    <mergeCell ref="A422:J422"/>
    <mergeCell ref="A417:D417"/>
    <mergeCell ref="E417:F417"/>
    <mergeCell ref="G417:H417"/>
    <mergeCell ref="I417:J417"/>
    <mergeCell ref="A418:D418"/>
    <mergeCell ref="E418:F418"/>
    <mergeCell ref="G418:H418"/>
    <mergeCell ref="I418:J418"/>
    <mergeCell ref="A419:D419"/>
    <mergeCell ref="E419:F419"/>
    <mergeCell ref="G419:H419"/>
    <mergeCell ref="I419:J419"/>
    <mergeCell ref="A414:D414"/>
    <mergeCell ref="E414:F414"/>
    <mergeCell ref="G414:H414"/>
    <mergeCell ref="I414:J414"/>
    <mergeCell ref="A415:D415"/>
    <mergeCell ref="E415:F415"/>
    <mergeCell ref="G415:H415"/>
    <mergeCell ref="I415:J415"/>
    <mergeCell ref="A416:D416"/>
    <mergeCell ref="E416:F416"/>
    <mergeCell ref="G416:H416"/>
    <mergeCell ref="I416:J416"/>
    <mergeCell ref="A411:D411"/>
    <mergeCell ref="E411:F411"/>
    <mergeCell ref="G411:H411"/>
    <mergeCell ref="I411:J411"/>
    <mergeCell ref="A412:D412"/>
    <mergeCell ref="E412:F412"/>
    <mergeCell ref="G412:H412"/>
    <mergeCell ref="I412:J412"/>
    <mergeCell ref="A413:D413"/>
    <mergeCell ref="E413:F413"/>
    <mergeCell ref="G413:H413"/>
    <mergeCell ref="I413:J413"/>
    <mergeCell ref="A404:G404"/>
    <mergeCell ref="H404:J404"/>
    <mergeCell ref="A406:J406"/>
    <mergeCell ref="A407:D407"/>
    <mergeCell ref="E407:J408"/>
    <mergeCell ref="A408:D408"/>
    <mergeCell ref="A409:D409"/>
    <mergeCell ref="E409:J409"/>
    <mergeCell ref="E410:F410"/>
    <mergeCell ref="G410:H410"/>
    <mergeCell ref="I410:J410"/>
    <mergeCell ref="A363:D363"/>
    <mergeCell ref="E363:F363"/>
    <mergeCell ref="G363:H363"/>
    <mergeCell ref="I363:J363"/>
    <mergeCell ref="A364:J364"/>
    <mergeCell ref="A365:J365"/>
    <mergeCell ref="A366:J366"/>
    <mergeCell ref="A367:J367"/>
    <mergeCell ref="A368:J402"/>
    <mergeCell ref="A360:D360"/>
    <mergeCell ref="E360:F360"/>
    <mergeCell ref="G360:H360"/>
    <mergeCell ref="I360:J360"/>
    <mergeCell ref="A361:D361"/>
    <mergeCell ref="E361:F361"/>
    <mergeCell ref="G361:H361"/>
    <mergeCell ref="I361:J361"/>
    <mergeCell ref="A362:D362"/>
    <mergeCell ref="E362:F362"/>
    <mergeCell ref="G362:H362"/>
    <mergeCell ref="I362:J362"/>
    <mergeCell ref="A357:D357"/>
    <mergeCell ref="E357:F357"/>
    <mergeCell ref="G357:H357"/>
    <mergeCell ref="I357:J357"/>
    <mergeCell ref="A358:D358"/>
    <mergeCell ref="E358:F358"/>
    <mergeCell ref="G358:H358"/>
    <mergeCell ref="I358:J358"/>
    <mergeCell ref="A359:D359"/>
    <mergeCell ref="E359:F359"/>
    <mergeCell ref="G359:H359"/>
    <mergeCell ref="I359:J359"/>
    <mergeCell ref="A354:D354"/>
    <mergeCell ref="E354:F354"/>
    <mergeCell ref="G354:H354"/>
    <mergeCell ref="I354:J354"/>
    <mergeCell ref="A355:D355"/>
    <mergeCell ref="E355:F355"/>
    <mergeCell ref="G355:H355"/>
    <mergeCell ref="I355:J355"/>
    <mergeCell ref="A356:D356"/>
    <mergeCell ref="E356:F356"/>
    <mergeCell ref="G356:H356"/>
    <mergeCell ref="I356:J356"/>
    <mergeCell ref="A351:D351"/>
    <mergeCell ref="E351:J351"/>
    <mergeCell ref="E352:F352"/>
    <mergeCell ref="G352:H352"/>
    <mergeCell ref="I352:J352"/>
    <mergeCell ref="A353:D353"/>
    <mergeCell ref="E353:F353"/>
    <mergeCell ref="G353:H353"/>
    <mergeCell ref="I353:J353"/>
    <mergeCell ref="A306:J306"/>
    <mergeCell ref="A307:J307"/>
    <mergeCell ref="A308:J308"/>
    <mergeCell ref="A309:J309"/>
    <mergeCell ref="A310:J344"/>
    <mergeCell ref="A346:G346"/>
    <mergeCell ref="H346:J346"/>
    <mergeCell ref="A348:J348"/>
    <mergeCell ref="A349:D349"/>
    <mergeCell ref="E349:J350"/>
    <mergeCell ref="A350:D350"/>
    <mergeCell ref="A303:D303"/>
    <mergeCell ref="E303:F303"/>
    <mergeCell ref="G303:H303"/>
    <mergeCell ref="I303:J303"/>
    <mergeCell ref="A304:D304"/>
    <mergeCell ref="E304:F304"/>
    <mergeCell ref="G304:H304"/>
    <mergeCell ref="I304:J304"/>
    <mergeCell ref="A305:D305"/>
    <mergeCell ref="E305:F305"/>
    <mergeCell ref="G305:H305"/>
    <mergeCell ref="I305:J305"/>
    <mergeCell ref="A300:D300"/>
    <mergeCell ref="E300:F300"/>
    <mergeCell ref="G300:H300"/>
    <mergeCell ref="I300:J300"/>
    <mergeCell ref="A301:D301"/>
    <mergeCell ref="E301:F301"/>
    <mergeCell ref="G301:H301"/>
    <mergeCell ref="I301:J301"/>
    <mergeCell ref="A302:D302"/>
    <mergeCell ref="E302:F302"/>
    <mergeCell ref="G302:H302"/>
    <mergeCell ref="I302:J302"/>
    <mergeCell ref="A297:D297"/>
    <mergeCell ref="E297:F297"/>
    <mergeCell ref="G297:H297"/>
    <mergeCell ref="I297:J297"/>
    <mergeCell ref="A298:D298"/>
    <mergeCell ref="E298:F298"/>
    <mergeCell ref="G298:H298"/>
    <mergeCell ref="I298:J298"/>
    <mergeCell ref="A299:D299"/>
    <mergeCell ref="E299:F299"/>
    <mergeCell ref="G299:H299"/>
    <mergeCell ref="I299:J299"/>
    <mergeCell ref="A295:D295"/>
    <mergeCell ref="E295:F295"/>
    <mergeCell ref="G295:H295"/>
    <mergeCell ref="I295:J295"/>
    <mergeCell ref="A293:D293"/>
    <mergeCell ref="E293:J293"/>
    <mergeCell ref="A296:D296"/>
    <mergeCell ref="E296:F296"/>
    <mergeCell ref="G296:H296"/>
    <mergeCell ref="I296:J296"/>
    <mergeCell ref="A191:D191"/>
    <mergeCell ref="E191:F191"/>
    <mergeCell ref="G191:H191"/>
    <mergeCell ref="E294:F294"/>
    <mergeCell ref="G294:H294"/>
    <mergeCell ref="I294:J294"/>
    <mergeCell ref="E239:F239"/>
    <mergeCell ref="G239:H239"/>
    <mergeCell ref="I239:J239"/>
    <mergeCell ref="G243:H243"/>
    <mergeCell ref="I243:J243"/>
    <mergeCell ref="A240:D240"/>
    <mergeCell ref="E240:F240"/>
    <mergeCell ref="A241:D241"/>
    <mergeCell ref="E241:F241"/>
    <mergeCell ref="G241:H241"/>
    <mergeCell ref="I241:J241"/>
    <mergeCell ref="A242:D242"/>
    <mergeCell ref="E242:F242"/>
    <mergeCell ref="A243:D243"/>
    <mergeCell ref="E243:F243"/>
    <mergeCell ref="E247:F247"/>
    <mergeCell ref="G247:H247"/>
    <mergeCell ref="I247:J247"/>
    <mergeCell ref="A197:J197"/>
    <mergeCell ref="A192:D192"/>
    <mergeCell ref="E192:F192"/>
    <mergeCell ref="G192:H192"/>
    <mergeCell ref="I192:J192"/>
    <mergeCell ref="E193:F193"/>
    <mergeCell ref="G193:H193"/>
    <mergeCell ref="I193:J193"/>
    <mergeCell ref="A194:D194"/>
    <mergeCell ref="E194:F194"/>
    <mergeCell ref="I194:J194"/>
    <mergeCell ref="A245:D245"/>
    <mergeCell ref="A235:D235"/>
    <mergeCell ref="A234:D234"/>
    <mergeCell ref="A246:D246"/>
    <mergeCell ref="A290:J290"/>
    <mergeCell ref="A291:D291"/>
    <mergeCell ref="E291:J292"/>
    <mergeCell ref="A292:D292"/>
    <mergeCell ref="G240:H240"/>
    <mergeCell ref="I240:J240"/>
    <mergeCell ref="A239:D239"/>
    <mergeCell ref="E245:F245"/>
    <mergeCell ref="G245:H245"/>
    <mergeCell ref="A250:J250"/>
    <mergeCell ref="G242:H242"/>
    <mergeCell ref="I242:J242"/>
    <mergeCell ref="A244:D244"/>
    <mergeCell ref="E244:F244"/>
    <mergeCell ref="G244:H244"/>
    <mergeCell ref="A198:J198"/>
    <mergeCell ref="A230:G230"/>
    <mergeCell ref="H230:J230"/>
    <mergeCell ref="A232:J232"/>
    <mergeCell ref="A233:D233"/>
    <mergeCell ref="E233:J234"/>
    <mergeCell ref="E235:J235"/>
    <mergeCell ref="A238:D238"/>
    <mergeCell ref="E238:F238"/>
    <mergeCell ref="A47:J56"/>
    <mergeCell ref="A129:D129"/>
    <mergeCell ref="E185:F185"/>
    <mergeCell ref="G185:H185"/>
    <mergeCell ref="E183:F183"/>
    <mergeCell ref="A251:J251"/>
    <mergeCell ref="A252:J285"/>
    <mergeCell ref="A288:G288"/>
    <mergeCell ref="H288:J288"/>
    <mergeCell ref="A195:J195"/>
    <mergeCell ref="A196:J196"/>
    <mergeCell ref="I244:J244"/>
    <mergeCell ref="A248:J248"/>
    <mergeCell ref="A249:J249"/>
    <mergeCell ref="I245:J245"/>
    <mergeCell ref="A190:D190"/>
    <mergeCell ref="E190:F190"/>
    <mergeCell ref="G190:H190"/>
    <mergeCell ref="I190:J190"/>
    <mergeCell ref="E188:F188"/>
    <mergeCell ref="E246:F246"/>
    <mergeCell ref="G246:H246"/>
    <mergeCell ref="I246:J246"/>
    <mergeCell ref="A247:D247"/>
    <mergeCell ref="A57:K58"/>
    <mergeCell ref="E180:J181"/>
    <mergeCell ref="A107:K107"/>
    <mergeCell ref="I132:J132"/>
    <mergeCell ref="G131:H131"/>
    <mergeCell ref="I137:J137"/>
    <mergeCell ref="G135:H135"/>
    <mergeCell ref="G133:H133"/>
    <mergeCell ref="I135:J135"/>
    <mergeCell ref="I134:J134"/>
    <mergeCell ref="E130:J130"/>
    <mergeCell ref="A128:D128"/>
    <mergeCell ref="A130:D130"/>
    <mergeCell ref="A133:D133"/>
    <mergeCell ref="A135:D135"/>
    <mergeCell ref="E141:F141"/>
    <mergeCell ref="G141:H141"/>
    <mergeCell ref="E128:J129"/>
    <mergeCell ref="B77:I79"/>
    <mergeCell ref="B81:I84"/>
    <mergeCell ref="B86:I88"/>
    <mergeCell ref="B90:I91"/>
    <mergeCell ref="G139:H139"/>
    <mergeCell ref="I138:J138"/>
    <mergeCell ref="A3:J7"/>
    <mergeCell ref="A138:D138"/>
    <mergeCell ref="A137:D137"/>
    <mergeCell ref="A127:J127"/>
    <mergeCell ref="E131:F131"/>
    <mergeCell ref="E132:F132"/>
    <mergeCell ref="I131:J131"/>
    <mergeCell ref="A136:D136"/>
    <mergeCell ref="A134:D134"/>
    <mergeCell ref="E136:F136"/>
    <mergeCell ref="G134:H134"/>
    <mergeCell ref="I133:J133"/>
    <mergeCell ref="A132:D132"/>
    <mergeCell ref="E133:F133"/>
    <mergeCell ref="E135:F135"/>
    <mergeCell ref="E134:F134"/>
    <mergeCell ref="E137:F137"/>
    <mergeCell ref="A13:J13"/>
    <mergeCell ref="C14:E14"/>
    <mergeCell ref="A9:J11"/>
    <mergeCell ref="B67:I69"/>
    <mergeCell ref="B71:I75"/>
    <mergeCell ref="G138:H138"/>
    <mergeCell ref="E138:F138"/>
    <mergeCell ref="G184:H184"/>
    <mergeCell ref="I184:J184"/>
    <mergeCell ref="A143:J143"/>
    <mergeCell ref="A144:J144"/>
    <mergeCell ref="A145:J145"/>
    <mergeCell ref="A146:J146"/>
    <mergeCell ref="A181:D181"/>
    <mergeCell ref="A182:D182"/>
    <mergeCell ref="G183:H183"/>
    <mergeCell ref="I183:J183"/>
    <mergeCell ref="A471:D471"/>
    <mergeCell ref="E471:F471"/>
    <mergeCell ref="G471:H471"/>
    <mergeCell ref="I471:J471"/>
    <mergeCell ref="A472:D472"/>
    <mergeCell ref="E472:F472"/>
    <mergeCell ref="G472:H472"/>
    <mergeCell ref="I472:J472"/>
    <mergeCell ref="E182:J182"/>
    <mergeCell ref="I191:J191"/>
    <mergeCell ref="G194:H194"/>
    <mergeCell ref="E236:F236"/>
    <mergeCell ref="G236:H236"/>
    <mergeCell ref="I236:J236"/>
    <mergeCell ref="A237:D237"/>
    <mergeCell ref="E237:F237"/>
    <mergeCell ref="G237:H237"/>
    <mergeCell ref="I237:J237"/>
    <mergeCell ref="G238:H238"/>
    <mergeCell ref="A193:D193"/>
    <mergeCell ref="I238:J238"/>
    <mergeCell ref="A199:J226"/>
    <mergeCell ref="A184:D184"/>
    <mergeCell ref="E184:F184"/>
    <mergeCell ref="A470:D470"/>
    <mergeCell ref="E470:F470"/>
    <mergeCell ref="G470:H470"/>
    <mergeCell ref="I470:J470"/>
    <mergeCell ref="A180:D180"/>
    <mergeCell ref="A179:J179"/>
    <mergeCell ref="A147:J174"/>
    <mergeCell ref="I140:J140"/>
    <mergeCell ref="G142:H142"/>
    <mergeCell ref="A142:D142"/>
    <mergeCell ref="E142:F142"/>
    <mergeCell ref="A185:D185"/>
    <mergeCell ref="I188:J188"/>
    <mergeCell ref="I185:J185"/>
    <mergeCell ref="A186:D186"/>
    <mergeCell ref="A187:D187"/>
    <mergeCell ref="I186:J186"/>
    <mergeCell ref="G186:H186"/>
    <mergeCell ref="A188:D188"/>
    <mergeCell ref="A189:D189"/>
    <mergeCell ref="E189:F189"/>
    <mergeCell ref="E186:F186"/>
    <mergeCell ref="E187:F187"/>
    <mergeCell ref="G187:H187"/>
    <mergeCell ref="G189:H189"/>
    <mergeCell ref="E140:F140"/>
    <mergeCell ref="I142:J142"/>
    <mergeCell ref="A1:G1"/>
    <mergeCell ref="H1:J1"/>
    <mergeCell ref="A65:G65"/>
    <mergeCell ref="H65:J65"/>
    <mergeCell ref="A125:G125"/>
    <mergeCell ref="H125:J125"/>
    <mergeCell ref="A177:G177"/>
    <mergeCell ref="H177:J177"/>
    <mergeCell ref="I139:J139"/>
    <mergeCell ref="G137:H137"/>
    <mergeCell ref="I141:J141"/>
    <mergeCell ref="E139:F139"/>
    <mergeCell ref="G132:H132"/>
    <mergeCell ref="I64:J64"/>
    <mergeCell ref="H14:J14"/>
    <mergeCell ref="C20:E20"/>
    <mergeCell ref="A94:J101"/>
    <mergeCell ref="C41:E41"/>
    <mergeCell ref="I187:J187"/>
    <mergeCell ref="I189:J189"/>
    <mergeCell ref="G188:H188"/>
    <mergeCell ref="H41:J41"/>
    <mergeCell ref="H20:J20"/>
    <mergeCell ref="A139:D139"/>
    <mergeCell ref="A140:D140"/>
    <mergeCell ref="G140:H140"/>
    <mergeCell ref="A141:D141"/>
    <mergeCell ref="A533:D533"/>
    <mergeCell ref="E533:F533"/>
    <mergeCell ref="G533:H533"/>
    <mergeCell ref="A530:D530"/>
    <mergeCell ref="E530:F530"/>
    <mergeCell ref="G530:H530"/>
    <mergeCell ref="I530:J530"/>
    <mergeCell ref="A531:D531"/>
    <mergeCell ref="E531:F531"/>
    <mergeCell ref="G531:H531"/>
    <mergeCell ref="I531:J531"/>
    <mergeCell ref="A532:D532"/>
    <mergeCell ref="E532:F532"/>
    <mergeCell ref="G532:H532"/>
    <mergeCell ref="I532:J532"/>
    <mergeCell ref="G136:H136"/>
    <mergeCell ref="I136:J136"/>
    <mergeCell ref="A103:J105"/>
    <mergeCell ref="A536:D536"/>
    <mergeCell ref="E536:F536"/>
    <mergeCell ref="G536:H536"/>
    <mergeCell ref="I536:J536"/>
    <mergeCell ref="A537:D537"/>
    <mergeCell ref="E537:F537"/>
    <mergeCell ref="G537:H537"/>
    <mergeCell ref="I537:J537"/>
    <mergeCell ref="I533:J533"/>
    <mergeCell ref="A534:D534"/>
    <mergeCell ref="E534:F534"/>
    <mergeCell ref="G534:H534"/>
    <mergeCell ref="I534:J534"/>
    <mergeCell ref="A535:D535"/>
    <mergeCell ref="E535:F535"/>
    <mergeCell ref="G535:H535"/>
    <mergeCell ref="I535:J535"/>
  </mergeCells>
  <phoneticPr fontId="2" type="noConversion"/>
  <dataValidations xWindow="807" yWindow="385" count="14">
    <dataValidation allowBlank="1" showInputMessage="1" showErrorMessage="1" error="Entries not permitted in this cell." prompt="Leave cell blank." sqref="E138:J138 E190:J190 E243:J243 E301:J301 E359:J359 E417:J417 E475:J475 E533:J533 E591:J591 E649:J649 E707:J707 E765:J765 E823:J823 E881:J881 E939:J939" xr:uid="{00000000-0002-0000-0500-000000000000}"/>
    <dataValidation type="whole" allowBlank="1" showInputMessage="1" showErrorMessage="1" error="Must enter amount in whole dollars." sqref="E132:J137 E139:F141 E184:J189 E191:F193 E237:J242 E244:F246 E295:J300 E302:F304 E353:J358 E360:F362 E411:J416 E418:F420 E469:J474 E476:F478 E527:J532 E534:F536 E585:J590 E592:F594 E643:J648 E650:F652 E701:J706 E708:F710 E759:J764 E766:F768 E817:J822 E824:F826 E875:J880 E882:F884 E933:J938 E940:F942" xr:uid="{00000000-0002-0000-0500-000001000000}">
      <formula1>0</formula1>
      <formula2>50000000</formula2>
    </dataValidation>
    <dataValidation type="whole" allowBlank="1" showInputMessage="1" showErrorMessage="1" error="Leave blank or enter amount in whole dollars." sqref="G139:J141 G191:J193 G244:J246 G302:J304 G360:J362 G418:J420 G476:J478 G534:J536 G592:J594 G650:J652 G708:J710 G766:J768 G824:J826 G882:J884 G940:J942" xr:uid="{00000000-0002-0000-0500-000002000000}">
      <formula1>0</formula1>
      <formula2>50000000</formula2>
    </dataValidation>
    <dataValidation type="textLength" allowBlank="1" showInputMessage="1" showErrorMessage="1" prompt="Leave Blank or Describe Other Expenditure. " sqref="A139:D141 A191:D193 A244:D246 A302:D304 A360:D362 A418:D420 A476:D478 A534:D536 A592:D594 A650:D652 A708:D710 A766:D768 A824:D826 A882:D884 A940:D942" xr:uid="{00000000-0002-0000-0500-000003000000}">
      <formula1>1</formula1>
      <formula2>35</formula2>
    </dataValidation>
    <dataValidation allowBlank="1" showInputMessage="1" showErrorMessage="1" error="Total is automatically calculated." prompt=" Amount Automatically Calculated. " sqref="E142:J142 E194:J194 E247:J247 E305:J305 E363:J363 E421:J421 E479:J479 E537:J537 E595:J595 E653:J653 E711:J711 E769:J769 E827:J827 E885:J885 E943:J943" xr:uid="{00000000-0002-0000-0500-000004000000}"/>
    <dataValidation type="list" showInputMessage="1" showErrorMessage="1" prompt="Please select from drop down list." sqref="E130:J130" xr:uid="{00000000-0002-0000-0500-000005000000}">
      <formula1>Expenditures</formula1>
    </dataValidation>
    <dataValidation type="list" showInputMessage="1" showErrorMessage="1" prompt="Please select from the drop down list." sqref="E182:J182 E235:J235 E351:J351 E409:J409 E467:J467 E525:J525 E583:J583 E641:J641 E699:J699 E757:J757 E815:J815 E873:J873 E931:J931 E293:J293" xr:uid="{00000000-0002-0000-0500-000006000000}">
      <formula1>Expenditures</formula1>
    </dataValidation>
    <dataValidation showInputMessage="1" showErrorMessage="1" promptTitle="Instructions" prompt="Click in the box to enter or edit your response._x000a__x000a_Press ALT and Enter to start a new paragraph" sqref="K151" xr:uid="{00000000-0002-0000-0500-000007000000}"/>
    <dataValidation allowBlank="1" showInputMessage="1" showErrorMessage="1" promptTitle="INSTRUCTIONS:" prompt="1)  Double click inside box to start typing._x000a_2)  DO NOT EXCEED the space provided as it will not appear when page is printed._x000a_3)  Press ALT and ENTER to start a new paragraph._x000a_4)  REVIEW work for accuracy._x000a_" sqref="A147:J174" xr:uid="{00000000-0002-0000-0500-000008000000}"/>
    <dataValidation allowBlank="1" showInputMessage="1" showErrorMessage="1" promptTitle="1)  Double click inside box." prompt="2)  DO NOT EXCEED the space provided as it will not appear when cursor is outside the box or when page is printed._x000a_3)  Press ALT and ENTER to start a new paragraph._x000a_4)  For Spell Check go to REVIEW and click on &quot;ABC Spelling.&quot;" sqref="A227:J228" xr:uid="{00000000-0002-0000-0500-000009000000}"/>
    <dataValidation allowBlank="1" showInputMessage="1" showErrorMessage="1" sqref="E407:J408 E465:J466 E523:J524 E581:J582 E639:J640 E697:J698 E755:J756 E813:J814 E871:J872 E929:J930" xr:uid="{00000000-0002-0000-0500-00000A000000}"/>
    <dataValidation allowBlank="1" showInputMessage="1" showErrorMessage="1" promptTitle="INSTRUCTIONS:" prompt="1)1)  Double click inside box to start typing._x000a_2)  DO NOT EXCEED the space provided as it will not appear when page is printed._x000a_3)  Press ALT and ENTER to start a new paragraph._x000a_4)  REVIEW work for accuracy." sqref="A774:J808" xr:uid="{00000000-0002-0000-0500-00000B000000}"/>
    <dataValidation allowBlank="1" showInputMessage="1" showErrorMessage="1" promptTitle="INSTRUCTIONS:" prompt="1)  Double click inside box to start typing._x000a_2)  DO NOT EXCEED the space provided as it will not appear when page is printed._x000a_3)  Press ALT and ENTER to start a new paragraph._x000a_4)  REVIEW work for accuracy." sqref="A890:J924 A199:J226 A252:J285 A310:J344 A368:J402 A426:J460 A484:J518 A542:J576 A600:J634 A658:J692 A832:J866 A948:J982" xr:uid="{00000000-0002-0000-0500-00000C000000}"/>
    <dataValidation allowBlank="1" showInputMessage="1" showErrorMessage="1" promptTitle="INSTRUCTIONS&quot;" prompt="1)  Double click inside box to start typing._x000a_2)  DO NOT EXCEED the space provided as it will not appear when page is printed._x000a_3)  Press ALT and ENTER to start a new paragraph._x000a_4)  REVIEW work for accuracy." sqref="A716:J750" xr:uid="{00000000-0002-0000-0500-00000D000000}"/>
  </dataValidations>
  <printOptions horizontalCentered="1"/>
  <pageMargins left="0.5" right="0.5" top="0.75" bottom="0.5" header="0.75" footer="0.25"/>
  <pageSetup scale="96" firstPageNumber="4" orientation="portrait" useFirstPageNumber="1" r:id="rId1"/>
  <headerFooter>
    <oddFooter>&amp;L&amp;7&amp;Z&amp;F
Expenditure Details Tab</oddFooter>
  </headerFooter>
  <rowBreaks count="2" manualBreakCount="2">
    <brk id="62" max="16383" man="1"/>
    <brk id="12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815"/>
  <sheetViews>
    <sheetView showGridLines="0" workbookViewId="0">
      <selection activeCell="E72" sqref="E72:F72"/>
    </sheetView>
  </sheetViews>
  <sheetFormatPr defaultRowHeight="13.2" x14ac:dyDescent="0.25"/>
  <sheetData>
    <row r="1" spans="1:10" ht="15.6" x14ac:dyDescent="0.3">
      <c r="A1" s="351" t="s">
        <v>848</v>
      </c>
      <c r="B1" s="352"/>
      <c r="C1" s="352"/>
      <c r="D1" s="352"/>
      <c r="E1" s="352"/>
      <c r="F1" s="352"/>
      <c r="G1" s="352"/>
      <c r="H1" s="349" t="str">
        <f>'CONTACT INFORMATION'!$A$24</f>
        <v>Fresno</v>
      </c>
      <c r="I1" s="349"/>
      <c r="J1" s="350"/>
    </row>
    <row r="2" spans="1:10" x14ac:dyDescent="0.25">
      <c r="A2" s="163"/>
      <c r="B2" s="163"/>
      <c r="C2" s="163"/>
      <c r="D2" s="163"/>
      <c r="E2" s="163"/>
      <c r="F2" s="163"/>
      <c r="G2" s="163"/>
      <c r="H2" s="163"/>
      <c r="I2" s="163"/>
      <c r="J2" s="163"/>
    </row>
    <row r="3" spans="1:10" ht="13.8" x14ac:dyDescent="0.25">
      <c r="A3" s="458" t="s">
        <v>878</v>
      </c>
      <c r="B3" s="459"/>
      <c r="C3" s="459"/>
      <c r="D3" s="459"/>
      <c r="E3" s="459"/>
      <c r="F3" s="459"/>
      <c r="G3" s="459"/>
      <c r="H3" s="459"/>
      <c r="I3" s="459"/>
      <c r="J3" s="460"/>
    </row>
    <row r="4" spans="1:10" x14ac:dyDescent="0.25">
      <c r="A4" s="455" t="s">
        <v>854</v>
      </c>
      <c r="B4" s="456"/>
      <c r="C4" s="456"/>
      <c r="D4" s="457"/>
      <c r="E4" s="527"/>
      <c r="F4" s="528"/>
      <c r="G4" s="528"/>
      <c r="H4" s="528"/>
      <c r="I4" s="528"/>
      <c r="J4" s="529"/>
    </row>
    <row r="5" spans="1:10" x14ac:dyDescent="0.25">
      <c r="A5" s="495" t="s">
        <v>853</v>
      </c>
      <c r="B5" s="496"/>
      <c r="C5" s="496"/>
      <c r="D5" s="497"/>
      <c r="E5" s="530"/>
      <c r="F5" s="531"/>
      <c r="G5" s="531"/>
      <c r="H5" s="531"/>
      <c r="I5" s="531"/>
      <c r="J5" s="532"/>
    </row>
    <row r="6" spans="1:10" x14ac:dyDescent="0.25">
      <c r="A6" s="524" t="s">
        <v>808</v>
      </c>
      <c r="B6" s="525"/>
      <c r="C6" s="525"/>
      <c r="D6" s="526"/>
      <c r="E6" s="541"/>
      <c r="F6" s="542"/>
      <c r="G6" s="542"/>
      <c r="H6" s="542"/>
      <c r="I6" s="542"/>
      <c r="J6" s="543"/>
    </row>
    <row r="7" spans="1:10" x14ac:dyDescent="0.25">
      <c r="A7" s="157"/>
      <c r="B7" s="208"/>
      <c r="C7" s="208"/>
      <c r="D7" s="208"/>
      <c r="E7" s="474" t="s">
        <v>535</v>
      </c>
      <c r="F7" s="475"/>
      <c r="G7" s="474" t="s">
        <v>533</v>
      </c>
      <c r="H7" s="475"/>
      <c r="I7" s="476" t="s">
        <v>849</v>
      </c>
      <c r="J7" s="477"/>
    </row>
    <row r="8" spans="1:10" x14ac:dyDescent="0.25">
      <c r="A8" s="441" t="s">
        <v>527</v>
      </c>
      <c r="B8" s="442"/>
      <c r="C8" s="442"/>
      <c r="D8" s="443"/>
      <c r="E8" s="449"/>
      <c r="F8" s="449"/>
      <c r="G8" s="449"/>
      <c r="H8" s="449"/>
      <c r="I8" s="450"/>
      <c r="J8" s="450"/>
    </row>
    <row r="9" spans="1:10" x14ac:dyDescent="0.25">
      <c r="A9" s="445" t="s">
        <v>528</v>
      </c>
      <c r="B9" s="446"/>
      <c r="C9" s="446"/>
      <c r="D9" s="447"/>
      <c r="E9" s="432"/>
      <c r="F9" s="432"/>
      <c r="G9" s="433"/>
      <c r="H9" s="433"/>
      <c r="I9" s="448"/>
      <c r="J9" s="448"/>
    </row>
    <row r="10" spans="1:10" x14ac:dyDescent="0.25">
      <c r="A10" s="441" t="s">
        <v>529</v>
      </c>
      <c r="B10" s="442"/>
      <c r="C10" s="442"/>
      <c r="D10" s="443"/>
      <c r="E10" s="449"/>
      <c r="F10" s="449"/>
      <c r="G10" s="449"/>
      <c r="H10" s="449"/>
      <c r="I10" s="450"/>
      <c r="J10" s="450"/>
    </row>
    <row r="11" spans="1:10" x14ac:dyDescent="0.25">
      <c r="A11" s="445" t="s">
        <v>530</v>
      </c>
      <c r="B11" s="446"/>
      <c r="C11" s="446"/>
      <c r="D11" s="447"/>
      <c r="E11" s="432"/>
      <c r="F11" s="432"/>
      <c r="G11" s="433"/>
      <c r="H11" s="433"/>
      <c r="I11" s="448"/>
      <c r="J11" s="448"/>
    </row>
    <row r="12" spans="1:10" x14ac:dyDescent="0.25">
      <c r="A12" s="441" t="s">
        <v>531</v>
      </c>
      <c r="B12" s="442"/>
      <c r="C12" s="442"/>
      <c r="D12" s="443"/>
      <c r="E12" s="449"/>
      <c r="F12" s="449"/>
      <c r="G12" s="449"/>
      <c r="H12" s="449"/>
      <c r="I12" s="450"/>
      <c r="J12" s="450"/>
    </row>
    <row r="13" spans="1:10" x14ac:dyDescent="0.25">
      <c r="A13" s="445" t="s">
        <v>532</v>
      </c>
      <c r="B13" s="446"/>
      <c r="C13" s="446"/>
      <c r="D13" s="447"/>
      <c r="E13" s="432"/>
      <c r="F13" s="432"/>
      <c r="G13" s="433"/>
      <c r="H13" s="433"/>
      <c r="I13" s="448"/>
      <c r="J13" s="448"/>
    </row>
    <row r="14" spans="1:10" x14ac:dyDescent="0.25">
      <c r="A14" s="441" t="s">
        <v>537</v>
      </c>
      <c r="B14" s="442"/>
      <c r="C14" s="442"/>
      <c r="D14" s="443"/>
      <c r="E14" s="444"/>
      <c r="F14" s="444"/>
      <c r="G14" s="444"/>
      <c r="H14" s="444"/>
      <c r="I14" s="438"/>
      <c r="J14" s="438"/>
    </row>
    <row r="15" spans="1:10" x14ac:dyDescent="0.25">
      <c r="A15" s="429"/>
      <c r="B15" s="430"/>
      <c r="C15" s="430"/>
      <c r="D15" s="431"/>
      <c r="E15" s="432"/>
      <c r="F15" s="432"/>
      <c r="G15" s="433"/>
      <c r="H15" s="433"/>
      <c r="I15" s="433"/>
      <c r="J15" s="433"/>
    </row>
    <row r="16" spans="1:10" x14ac:dyDescent="0.25">
      <c r="A16" s="429"/>
      <c r="B16" s="430"/>
      <c r="C16" s="430"/>
      <c r="D16" s="431"/>
      <c r="E16" s="432"/>
      <c r="F16" s="432"/>
      <c r="G16" s="433"/>
      <c r="H16" s="433"/>
      <c r="I16" s="433"/>
      <c r="J16" s="433"/>
    </row>
    <row r="17" spans="1:10" x14ac:dyDescent="0.25">
      <c r="A17" s="429"/>
      <c r="B17" s="430"/>
      <c r="C17" s="430"/>
      <c r="D17" s="431"/>
      <c r="E17" s="432"/>
      <c r="F17" s="432"/>
      <c r="G17" s="433"/>
      <c r="H17" s="433"/>
      <c r="I17" s="433"/>
      <c r="J17" s="433"/>
    </row>
    <row r="18" spans="1:10" x14ac:dyDescent="0.25">
      <c r="A18" s="434" t="s">
        <v>534</v>
      </c>
      <c r="B18" s="435"/>
      <c r="C18" s="435"/>
      <c r="D18" s="436"/>
      <c r="E18" s="437">
        <f>SUM(E8:E17)</f>
        <v>0</v>
      </c>
      <c r="F18" s="437"/>
      <c r="G18" s="437">
        <f>SUM(G8:G17)</f>
        <v>0</v>
      </c>
      <c r="H18" s="437"/>
      <c r="I18" s="437">
        <f>SUM(I8:I17)</f>
        <v>0</v>
      </c>
      <c r="J18" s="437"/>
    </row>
    <row r="19" spans="1:10" x14ac:dyDescent="0.25">
      <c r="A19" s="486" t="s">
        <v>861</v>
      </c>
      <c r="B19" s="487"/>
      <c r="C19" s="487"/>
      <c r="D19" s="487"/>
      <c r="E19" s="487"/>
      <c r="F19" s="487"/>
      <c r="G19" s="487"/>
      <c r="H19" s="487"/>
      <c r="I19" s="487"/>
      <c r="J19" s="488"/>
    </row>
    <row r="20" spans="1:10" x14ac:dyDescent="0.25">
      <c r="A20" s="489" t="s">
        <v>862</v>
      </c>
      <c r="B20" s="490"/>
      <c r="C20" s="490"/>
      <c r="D20" s="490"/>
      <c r="E20" s="490"/>
      <c r="F20" s="490"/>
      <c r="G20" s="490"/>
      <c r="H20" s="490"/>
      <c r="I20" s="490"/>
      <c r="J20" s="491"/>
    </row>
    <row r="21" spans="1:10" x14ac:dyDescent="0.25">
      <c r="A21" s="489" t="s">
        <v>863</v>
      </c>
      <c r="B21" s="490"/>
      <c r="C21" s="490"/>
      <c r="D21" s="490"/>
      <c r="E21" s="490"/>
      <c r="F21" s="490"/>
      <c r="G21" s="490"/>
      <c r="H21" s="490"/>
      <c r="I21" s="490"/>
      <c r="J21" s="491"/>
    </row>
    <row r="22" spans="1:10" x14ac:dyDescent="0.25">
      <c r="A22" s="492" t="s">
        <v>864</v>
      </c>
      <c r="B22" s="493"/>
      <c r="C22" s="493"/>
      <c r="D22" s="493"/>
      <c r="E22" s="493"/>
      <c r="F22" s="493"/>
      <c r="G22" s="493"/>
      <c r="H22" s="493"/>
      <c r="I22" s="493"/>
      <c r="J22" s="494"/>
    </row>
    <row r="23" spans="1:10" x14ac:dyDescent="0.25">
      <c r="A23" s="300"/>
      <c r="B23" s="478"/>
      <c r="C23" s="478"/>
      <c r="D23" s="478"/>
      <c r="E23" s="478"/>
      <c r="F23" s="478"/>
      <c r="G23" s="478"/>
      <c r="H23" s="478"/>
      <c r="I23" s="478"/>
      <c r="J23" s="479"/>
    </row>
    <row r="24" spans="1:10" x14ac:dyDescent="0.25">
      <c r="A24" s="480"/>
      <c r="B24" s="481"/>
      <c r="C24" s="481"/>
      <c r="D24" s="481"/>
      <c r="E24" s="481"/>
      <c r="F24" s="481"/>
      <c r="G24" s="481"/>
      <c r="H24" s="481"/>
      <c r="I24" s="481"/>
      <c r="J24" s="482"/>
    </row>
    <row r="25" spans="1:10" x14ac:dyDescent="0.25">
      <c r="A25" s="480"/>
      <c r="B25" s="481"/>
      <c r="C25" s="481"/>
      <c r="D25" s="481"/>
      <c r="E25" s="481"/>
      <c r="F25" s="481"/>
      <c r="G25" s="481"/>
      <c r="H25" s="481"/>
      <c r="I25" s="481"/>
      <c r="J25" s="482"/>
    </row>
    <row r="26" spans="1:10" x14ac:dyDescent="0.25">
      <c r="A26" s="480"/>
      <c r="B26" s="481"/>
      <c r="C26" s="481"/>
      <c r="D26" s="481"/>
      <c r="E26" s="481"/>
      <c r="F26" s="481"/>
      <c r="G26" s="481"/>
      <c r="H26" s="481"/>
      <c r="I26" s="481"/>
      <c r="J26" s="482"/>
    </row>
    <row r="27" spans="1:10" x14ac:dyDescent="0.25">
      <c r="A27" s="480"/>
      <c r="B27" s="481"/>
      <c r="C27" s="481"/>
      <c r="D27" s="481"/>
      <c r="E27" s="481"/>
      <c r="F27" s="481"/>
      <c r="G27" s="481"/>
      <c r="H27" s="481"/>
      <c r="I27" s="481"/>
      <c r="J27" s="482"/>
    </row>
    <row r="28" spans="1:10" x14ac:dyDescent="0.25">
      <c r="A28" s="480"/>
      <c r="B28" s="481"/>
      <c r="C28" s="481"/>
      <c r="D28" s="481"/>
      <c r="E28" s="481"/>
      <c r="F28" s="481"/>
      <c r="G28" s="481"/>
      <c r="H28" s="481"/>
      <c r="I28" s="481"/>
      <c r="J28" s="482"/>
    </row>
    <row r="29" spans="1:10" x14ac:dyDescent="0.25">
      <c r="A29" s="480"/>
      <c r="B29" s="481"/>
      <c r="C29" s="481"/>
      <c r="D29" s="481"/>
      <c r="E29" s="481"/>
      <c r="F29" s="481"/>
      <c r="G29" s="481"/>
      <c r="H29" s="481"/>
      <c r="I29" s="481"/>
      <c r="J29" s="482"/>
    </row>
    <row r="30" spans="1:10" x14ac:dyDescent="0.25">
      <c r="A30" s="480"/>
      <c r="B30" s="481"/>
      <c r="C30" s="481"/>
      <c r="D30" s="481"/>
      <c r="E30" s="481"/>
      <c r="F30" s="481"/>
      <c r="G30" s="481"/>
      <c r="H30" s="481"/>
      <c r="I30" s="481"/>
      <c r="J30" s="482"/>
    </row>
    <row r="31" spans="1:10" x14ac:dyDescent="0.25">
      <c r="A31" s="480"/>
      <c r="B31" s="481"/>
      <c r="C31" s="481"/>
      <c r="D31" s="481"/>
      <c r="E31" s="481"/>
      <c r="F31" s="481"/>
      <c r="G31" s="481"/>
      <c r="H31" s="481"/>
      <c r="I31" s="481"/>
      <c r="J31" s="482"/>
    </row>
    <row r="32" spans="1:10" x14ac:dyDescent="0.25">
      <c r="A32" s="480"/>
      <c r="B32" s="481"/>
      <c r="C32" s="481"/>
      <c r="D32" s="481"/>
      <c r="E32" s="481"/>
      <c r="F32" s="481"/>
      <c r="G32" s="481"/>
      <c r="H32" s="481"/>
      <c r="I32" s="481"/>
      <c r="J32" s="482"/>
    </row>
    <row r="33" spans="1:10" x14ac:dyDescent="0.25">
      <c r="A33" s="480"/>
      <c r="B33" s="481"/>
      <c r="C33" s="481"/>
      <c r="D33" s="481"/>
      <c r="E33" s="481"/>
      <c r="F33" s="481"/>
      <c r="G33" s="481"/>
      <c r="H33" s="481"/>
      <c r="I33" s="481"/>
      <c r="J33" s="482"/>
    </row>
    <row r="34" spans="1:10" x14ac:dyDescent="0.25">
      <c r="A34" s="480"/>
      <c r="B34" s="481"/>
      <c r="C34" s="481"/>
      <c r="D34" s="481"/>
      <c r="E34" s="481"/>
      <c r="F34" s="481"/>
      <c r="G34" s="481"/>
      <c r="H34" s="481"/>
      <c r="I34" s="481"/>
      <c r="J34" s="482"/>
    </row>
    <row r="35" spans="1:10" x14ac:dyDescent="0.25">
      <c r="A35" s="480"/>
      <c r="B35" s="481"/>
      <c r="C35" s="481"/>
      <c r="D35" s="481"/>
      <c r="E35" s="481"/>
      <c r="F35" s="481"/>
      <c r="G35" s="481"/>
      <c r="H35" s="481"/>
      <c r="I35" s="481"/>
      <c r="J35" s="482"/>
    </row>
    <row r="36" spans="1:10" x14ac:dyDescent="0.25">
      <c r="A36" s="480"/>
      <c r="B36" s="481"/>
      <c r="C36" s="481"/>
      <c r="D36" s="481"/>
      <c r="E36" s="481"/>
      <c r="F36" s="481"/>
      <c r="G36" s="481"/>
      <c r="H36" s="481"/>
      <c r="I36" s="481"/>
      <c r="J36" s="482"/>
    </row>
    <row r="37" spans="1:10" x14ac:dyDescent="0.25">
      <c r="A37" s="480"/>
      <c r="B37" s="481"/>
      <c r="C37" s="481"/>
      <c r="D37" s="481"/>
      <c r="E37" s="481"/>
      <c r="F37" s="481"/>
      <c r="G37" s="481"/>
      <c r="H37" s="481"/>
      <c r="I37" s="481"/>
      <c r="J37" s="482"/>
    </row>
    <row r="38" spans="1:10" x14ac:dyDescent="0.25">
      <c r="A38" s="480"/>
      <c r="B38" s="481"/>
      <c r="C38" s="481"/>
      <c r="D38" s="481"/>
      <c r="E38" s="481"/>
      <c r="F38" s="481"/>
      <c r="G38" s="481"/>
      <c r="H38" s="481"/>
      <c r="I38" s="481"/>
      <c r="J38" s="482"/>
    </row>
    <row r="39" spans="1:10" x14ac:dyDescent="0.25">
      <c r="A39" s="480"/>
      <c r="B39" s="481"/>
      <c r="C39" s="481"/>
      <c r="D39" s="481"/>
      <c r="E39" s="481"/>
      <c r="F39" s="481"/>
      <c r="G39" s="481"/>
      <c r="H39" s="481"/>
      <c r="I39" s="481"/>
      <c r="J39" s="482"/>
    </row>
    <row r="40" spans="1:10" x14ac:dyDescent="0.25">
      <c r="A40" s="480"/>
      <c r="B40" s="481"/>
      <c r="C40" s="481"/>
      <c r="D40" s="481"/>
      <c r="E40" s="481"/>
      <c r="F40" s="481"/>
      <c r="G40" s="481"/>
      <c r="H40" s="481"/>
      <c r="I40" s="481"/>
      <c r="J40" s="482"/>
    </row>
    <row r="41" spans="1:10" x14ac:dyDescent="0.25">
      <c r="A41" s="480"/>
      <c r="B41" s="481"/>
      <c r="C41" s="481"/>
      <c r="D41" s="481"/>
      <c r="E41" s="481"/>
      <c r="F41" s="481"/>
      <c r="G41" s="481"/>
      <c r="H41" s="481"/>
      <c r="I41" s="481"/>
      <c r="J41" s="482"/>
    </row>
    <row r="42" spans="1:10" x14ac:dyDescent="0.25">
      <c r="A42" s="480"/>
      <c r="B42" s="481"/>
      <c r="C42" s="481"/>
      <c r="D42" s="481"/>
      <c r="E42" s="481"/>
      <c r="F42" s="481"/>
      <c r="G42" s="481"/>
      <c r="H42" s="481"/>
      <c r="I42" s="481"/>
      <c r="J42" s="482"/>
    </row>
    <row r="43" spans="1:10" x14ac:dyDescent="0.25">
      <c r="A43" s="480"/>
      <c r="B43" s="481"/>
      <c r="C43" s="481"/>
      <c r="D43" s="481"/>
      <c r="E43" s="481"/>
      <c r="F43" s="481"/>
      <c r="G43" s="481"/>
      <c r="H43" s="481"/>
      <c r="I43" s="481"/>
      <c r="J43" s="482"/>
    </row>
    <row r="44" spans="1:10" x14ac:dyDescent="0.25">
      <c r="A44" s="480"/>
      <c r="B44" s="481"/>
      <c r="C44" s="481"/>
      <c r="D44" s="481"/>
      <c r="E44" s="481"/>
      <c r="F44" s="481"/>
      <c r="G44" s="481"/>
      <c r="H44" s="481"/>
      <c r="I44" s="481"/>
      <c r="J44" s="482"/>
    </row>
    <row r="45" spans="1:10" x14ac:dyDescent="0.25">
      <c r="A45" s="480"/>
      <c r="B45" s="481"/>
      <c r="C45" s="481"/>
      <c r="D45" s="481"/>
      <c r="E45" s="481"/>
      <c r="F45" s="481"/>
      <c r="G45" s="481"/>
      <c r="H45" s="481"/>
      <c r="I45" s="481"/>
      <c r="J45" s="482"/>
    </row>
    <row r="46" spans="1:10" x14ac:dyDescent="0.25">
      <c r="A46" s="480"/>
      <c r="B46" s="481"/>
      <c r="C46" s="481"/>
      <c r="D46" s="481"/>
      <c r="E46" s="481"/>
      <c r="F46" s="481"/>
      <c r="G46" s="481"/>
      <c r="H46" s="481"/>
      <c r="I46" s="481"/>
      <c r="J46" s="482"/>
    </row>
    <row r="47" spans="1:10" x14ac:dyDescent="0.25">
      <c r="A47" s="480"/>
      <c r="B47" s="481"/>
      <c r="C47" s="481"/>
      <c r="D47" s="481"/>
      <c r="E47" s="481"/>
      <c r="F47" s="481"/>
      <c r="G47" s="481"/>
      <c r="H47" s="481"/>
      <c r="I47" s="481"/>
      <c r="J47" s="482"/>
    </row>
    <row r="48" spans="1:10" x14ac:dyDescent="0.25">
      <c r="A48" s="480"/>
      <c r="B48" s="481"/>
      <c r="C48" s="481"/>
      <c r="D48" s="481"/>
      <c r="E48" s="481"/>
      <c r="F48" s="481"/>
      <c r="G48" s="481"/>
      <c r="H48" s="481"/>
      <c r="I48" s="481"/>
      <c r="J48" s="482"/>
    </row>
    <row r="49" spans="1:10" x14ac:dyDescent="0.25">
      <c r="A49" s="480"/>
      <c r="B49" s="481"/>
      <c r="C49" s="481"/>
      <c r="D49" s="481"/>
      <c r="E49" s="481"/>
      <c r="F49" s="481"/>
      <c r="G49" s="481"/>
      <c r="H49" s="481"/>
      <c r="I49" s="481"/>
      <c r="J49" s="482"/>
    </row>
    <row r="50" spans="1:10" x14ac:dyDescent="0.25">
      <c r="A50" s="480"/>
      <c r="B50" s="481"/>
      <c r="C50" s="481"/>
      <c r="D50" s="481"/>
      <c r="E50" s="481"/>
      <c r="F50" s="481"/>
      <c r="G50" s="481"/>
      <c r="H50" s="481"/>
      <c r="I50" s="481"/>
      <c r="J50" s="482"/>
    </row>
    <row r="51" spans="1:10" x14ac:dyDescent="0.25">
      <c r="A51" s="480"/>
      <c r="B51" s="481"/>
      <c r="C51" s="481"/>
      <c r="D51" s="481"/>
      <c r="E51" s="481"/>
      <c r="F51" s="481"/>
      <c r="G51" s="481"/>
      <c r="H51" s="481"/>
      <c r="I51" s="481"/>
      <c r="J51" s="482"/>
    </row>
    <row r="52" spans="1:10" x14ac:dyDescent="0.25">
      <c r="A52" s="480"/>
      <c r="B52" s="481"/>
      <c r="C52" s="481"/>
      <c r="D52" s="481"/>
      <c r="E52" s="481"/>
      <c r="F52" s="481"/>
      <c r="G52" s="481"/>
      <c r="H52" s="481"/>
      <c r="I52" s="481"/>
      <c r="J52" s="482"/>
    </row>
    <row r="53" spans="1:10" x14ac:dyDescent="0.25">
      <c r="A53" s="480"/>
      <c r="B53" s="481"/>
      <c r="C53" s="481"/>
      <c r="D53" s="481"/>
      <c r="E53" s="481"/>
      <c r="F53" s="481"/>
      <c r="G53" s="481"/>
      <c r="H53" s="481"/>
      <c r="I53" s="481"/>
      <c r="J53" s="482"/>
    </row>
    <row r="54" spans="1:10" x14ac:dyDescent="0.25">
      <c r="A54" s="483"/>
      <c r="B54" s="484"/>
      <c r="C54" s="484"/>
      <c r="D54" s="484"/>
      <c r="E54" s="484"/>
      <c r="F54" s="484"/>
      <c r="G54" s="484"/>
      <c r="H54" s="484"/>
      <c r="I54" s="484"/>
      <c r="J54" s="485"/>
    </row>
    <row r="55" spans="1:10" s="39" customFormat="1" x14ac:dyDescent="0.25">
      <c r="A55" s="227"/>
      <c r="B55" s="227"/>
      <c r="C55" s="227"/>
      <c r="D55" s="227"/>
      <c r="E55" s="227"/>
      <c r="F55" s="227"/>
      <c r="G55" s="227"/>
      <c r="H55" s="227"/>
      <c r="I55" s="227"/>
      <c r="J55" s="227"/>
    </row>
    <row r="56" spans="1:10" ht="15.6" x14ac:dyDescent="0.3">
      <c r="A56" s="351" t="s">
        <v>848</v>
      </c>
      <c r="B56" s="352"/>
      <c r="C56" s="352"/>
      <c r="D56" s="352"/>
      <c r="E56" s="352"/>
      <c r="F56" s="352"/>
      <c r="G56" s="352"/>
      <c r="H56" s="349" t="str">
        <f>'CONTACT INFORMATION'!$A$24</f>
        <v>Fresno</v>
      </c>
      <c r="I56" s="349"/>
      <c r="J56" s="350"/>
    </row>
    <row r="57" spans="1:10" x14ac:dyDescent="0.25">
      <c r="A57" s="163"/>
      <c r="B57" s="163"/>
      <c r="C57" s="163"/>
      <c r="D57" s="163"/>
      <c r="E57" s="163"/>
      <c r="F57" s="163"/>
      <c r="G57" s="163"/>
      <c r="H57" s="163"/>
      <c r="I57" s="163"/>
      <c r="J57" s="163"/>
    </row>
    <row r="58" spans="1:10" ht="13.8" x14ac:dyDescent="0.25">
      <c r="A58" s="458" t="s">
        <v>879</v>
      </c>
      <c r="B58" s="459"/>
      <c r="C58" s="459"/>
      <c r="D58" s="459"/>
      <c r="E58" s="459"/>
      <c r="F58" s="459"/>
      <c r="G58" s="459"/>
      <c r="H58" s="459"/>
      <c r="I58" s="459"/>
      <c r="J58" s="460"/>
    </row>
    <row r="59" spans="1:10" x14ac:dyDescent="0.25">
      <c r="A59" s="455" t="s">
        <v>854</v>
      </c>
      <c r="B59" s="456"/>
      <c r="C59" s="456"/>
      <c r="D59" s="457"/>
      <c r="E59" s="527"/>
      <c r="F59" s="528"/>
      <c r="G59" s="528"/>
      <c r="H59" s="528"/>
      <c r="I59" s="528"/>
      <c r="J59" s="529"/>
    </row>
    <row r="60" spans="1:10" x14ac:dyDescent="0.25">
      <c r="A60" s="495" t="s">
        <v>853</v>
      </c>
      <c r="B60" s="496"/>
      <c r="C60" s="496"/>
      <c r="D60" s="497"/>
      <c r="E60" s="530"/>
      <c r="F60" s="531"/>
      <c r="G60" s="531"/>
      <c r="H60" s="531"/>
      <c r="I60" s="531"/>
      <c r="J60" s="532"/>
    </row>
    <row r="61" spans="1:10" x14ac:dyDescent="0.25">
      <c r="A61" s="524" t="s">
        <v>808</v>
      </c>
      <c r="B61" s="525"/>
      <c r="C61" s="525"/>
      <c r="D61" s="526"/>
      <c r="E61" s="541"/>
      <c r="F61" s="542"/>
      <c r="G61" s="542"/>
      <c r="H61" s="542"/>
      <c r="I61" s="542"/>
      <c r="J61" s="543"/>
    </row>
    <row r="62" spans="1:10" x14ac:dyDescent="0.25">
      <c r="A62" s="157"/>
      <c r="B62" s="208"/>
      <c r="C62" s="208"/>
      <c r="D62" s="208"/>
      <c r="E62" s="474" t="s">
        <v>535</v>
      </c>
      <c r="F62" s="475"/>
      <c r="G62" s="474" t="s">
        <v>533</v>
      </c>
      <c r="H62" s="475"/>
      <c r="I62" s="476" t="s">
        <v>849</v>
      </c>
      <c r="J62" s="477"/>
    </row>
    <row r="63" spans="1:10" x14ac:dyDescent="0.25">
      <c r="A63" s="441" t="s">
        <v>527</v>
      </c>
      <c r="B63" s="442"/>
      <c r="C63" s="442"/>
      <c r="D63" s="443"/>
      <c r="E63" s="449"/>
      <c r="F63" s="449"/>
      <c r="G63" s="449"/>
      <c r="H63" s="449"/>
      <c r="I63" s="450"/>
      <c r="J63" s="450"/>
    </row>
    <row r="64" spans="1:10" x14ac:dyDescent="0.25">
      <c r="A64" s="445" t="s">
        <v>528</v>
      </c>
      <c r="B64" s="446"/>
      <c r="C64" s="446"/>
      <c r="D64" s="447"/>
      <c r="E64" s="432"/>
      <c r="F64" s="432"/>
      <c r="G64" s="433"/>
      <c r="H64" s="433"/>
      <c r="I64" s="448"/>
      <c r="J64" s="448"/>
    </row>
    <row r="65" spans="1:10" x14ac:dyDescent="0.25">
      <c r="A65" s="441" t="s">
        <v>529</v>
      </c>
      <c r="B65" s="442"/>
      <c r="C65" s="442"/>
      <c r="D65" s="443"/>
      <c r="E65" s="449"/>
      <c r="F65" s="449"/>
      <c r="G65" s="449"/>
      <c r="H65" s="449"/>
      <c r="I65" s="450"/>
      <c r="J65" s="450"/>
    </row>
    <row r="66" spans="1:10" x14ac:dyDescent="0.25">
      <c r="A66" s="445" t="s">
        <v>530</v>
      </c>
      <c r="B66" s="446"/>
      <c r="C66" s="446"/>
      <c r="D66" s="447"/>
      <c r="E66" s="432"/>
      <c r="F66" s="432"/>
      <c r="G66" s="433"/>
      <c r="H66" s="433"/>
      <c r="I66" s="448"/>
      <c r="J66" s="448"/>
    </row>
    <row r="67" spans="1:10" x14ac:dyDescent="0.25">
      <c r="A67" s="441" t="s">
        <v>531</v>
      </c>
      <c r="B67" s="442"/>
      <c r="C67" s="442"/>
      <c r="D67" s="443"/>
      <c r="E67" s="449"/>
      <c r="F67" s="449"/>
      <c r="G67" s="449"/>
      <c r="H67" s="449"/>
      <c r="I67" s="450"/>
      <c r="J67" s="450"/>
    </row>
    <row r="68" spans="1:10" x14ac:dyDescent="0.25">
      <c r="A68" s="445" t="s">
        <v>532</v>
      </c>
      <c r="B68" s="446"/>
      <c r="C68" s="446"/>
      <c r="D68" s="447"/>
      <c r="E68" s="432"/>
      <c r="F68" s="432"/>
      <c r="G68" s="433"/>
      <c r="H68" s="433"/>
      <c r="I68" s="448"/>
      <c r="J68" s="448"/>
    </row>
    <row r="69" spans="1:10" x14ac:dyDescent="0.25">
      <c r="A69" s="441" t="s">
        <v>537</v>
      </c>
      <c r="B69" s="442"/>
      <c r="C69" s="442"/>
      <c r="D69" s="443"/>
      <c r="E69" s="444"/>
      <c r="F69" s="444"/>
      <c r="G69" s="444"/>
      <c r="H69" s="444"/>
      <c r="I69" s="438"/>
      <c r="J69" s="438"/>
    </row>
    <row r="70" spans="1:10" x14ac:dyDescent="0.25">
      <c r="A70" s="429"/>
      <c r="B70" s="430"/>
      <c r="C70" s="430"/>
      <c r="D70" s="431"/>
      <c r="E70" s="432"/>
      <c r="F70" s="432"/>
      <c r="G70" s="433"/>
      <c r="H70" s="433"/>
      <c r="I70" s="433"/>
      <c r="J70" s="433"/>
    </row>
    <row r="71" spans="1:10" x14ac:dyDescent="0.25">
      <c r="A71" s="429"/>
      <c r="B71" s="430"/>
      <c r="C71" s="430"/>
      <c r="D71" s="431"/>
      <c r="E71" s="432"/>
      <c r="F71" s="432"/>
      <c r="G71" s="433"/>
      <c r="H71" s="433"/>
      <c r="I71" s="433"/>
      <c r="J71" s="433"/>
    </row>
    <row r="72" spans="1:10" x14ac:dyDescent="0.25">
      <c r="A72" s="429"/>
      <c r="B72" s="430"/>
      <c r="C72" s="430"/>
      <c r="D72" s="431"/>
      <c r="E72" s="432"/>
      <c r="F72" s="432"/>
      <c r="G72" s="433"/>
      <c r="H72" s="433"/>
      <c r="I72" s="433"/>
      <c r="J72" s="433"/>
    </row>
    <row r="73" spans="1:10" x14ac:dyDescent="0.25">
      <c r="A73" s="434" t="s">
        <v>534</v>
      </c>
      <c r="B73" s="435"/>
      <c r="C73" s="435"/>
      <c r="D73" s="436"/>
      <c r="E73" s="437">
        <f>SUM(E63:E72)</f>
        <v>0</v>
      </c>
      <c r="F73" s="437"/>
      <c r="G73" s="437">
        <f>SUM(G63:G72)</f>
        <v>0</v>
      </c>
      <c r="H73" s="437"/>
      <c r="I73" s="437">
        <f>SUM(I63:I72)</f>
        <v>0</v>
      </c>
      <c r="J73" s="437"/>
    </row>
    <row r="74" spans="1:10" x14ac:dyDescent="0.25">
      <c r="A74" s="486" t="s">
        <v>861</v>
      </c>
      <c r="B74" s="487"/>
      <c r="C74" s="487"/>
      <c r="D74" s="487"/>
      <c r="E74" s="487"/>
      <c r="F74" s="487"/>
      <c r="G74" s="487"/>
      <c r="H74" s="487"/>
      <c r="I74" s="487"/>
      <c r="J74" s="488"/>
    </row>
    <row r="75" spans="1:10" x14ac:dyDescent="0.25">
      <c r="A75" s="489" t="s">
        <v>862</v>
      </c>
      <c r="B75" s="490"/>
      <c r="C75" s="490"/>
      <c r="D75" s="490"/>
      <c r="E75" s="490"/>
      <c r="F75" s="490"/>
      <c r="G75" s="490"/>
      <c r="H75" s="490"/>
      <c r="I75" s="490"/>
      <c r="J75" s="491"/>
    </row>
    <row r="76" spans="1:10" x14ac:dyDescent="0.25">
      <c r="A76" s="489" t="s">
        <v>863</v>
      </c>
      <c r="B76" s="490"/>
      <c r="C76" s="490"/>
      <c r="D76" s="490"/>
      <c r="E76" s="490"/>
      <c r="F76" s="490"/>
      <c r="G76" s="490"/>
      <c r="H76" s="490"/>
      <c r="I76" s="490"/>
      <c r="J76" s="491"/>
    </row>
    <row r="77" spans="1:10" x14ac:dyDescent="0.25">
      <c r="A77" s="492" t="s">
        <v>864</v>
      </c>
      <c r="B77" s="493"/>
      <c r="C77" s="493"/>
      <c r="D77" s="493"/>
      <c r="E77" s="493"/>
      <c r="F77" s="493"/>
      <c r="G77" s="493"/>
      <c r="H77" s="493"/>
      <c r="I77" s="493"/>
      <c r="J77" s="494"/>
    </row>
    <row r="78" spans="1:10" x14ac:dyDescent="0.25">
      <c r="A78" s="300"/>
      <c r="B78" s="478"/>
      <c r="C78" s="478"/>
      <c r="D78" s="478"/>
      <c r="E78" s="478"/>
      <c r="F78" s="478"/>
      <c r="G78" s="478"/>
      <c r="H78" s="478"/>
      <c r="I78" s="478"/>
      <c r="J78" s="479"/>
    </row>
    <row r="79" spans="1:10" x14ac:dyDescent="0.25">
      <c r="A79" s="480"/>
      <c r="B79" s="481"/>
      <c r="C79" s="481"/>
      <c r="D79" s="481"/>
      <c r="E79" s="481"/>
      <c r="F79" s="481"/>
      <c r="G79" s="481"/>
      <c r="H79" s="481"/>
      <c r="I79" s="481"/>
      <c r="J79" s="482"/>
    </row>
    <row r="80" spans="1:10" x14ac:dyDescent="0.25">
      <c r="A80" s="480"/>
      <c r="B80" s="481"/>
      <c r="C80" s="481"/>
      <c r="D80" s="481"/>
      <c r="E80" s="481"/>
      <c r="F80" s="481"/>
      <c r="G80" s="481"/>
      <c r="H80" s="481"/>
      <c r="I80" s="481"/>
      <c r="J80" s="482"/>
    </row>
    <row r="81" spans="1:10" x14ac:dyDescent="0.25">
      <c r="A81" s="480"/>
      <c r="B81" s="481"/>
      <c r="C81" s="481"/>
      <c r="D81" s="481"/>
      <c r="E81" s="481"/>
      <c r="F81" s="481"/>
      <c r="G81" s="481"/>
      <c r="H81" s="481"/>
      <c r="I81" s="481"/>
      <c r="J81" s="482"/>
    </row>
    <row r="82" spans="1:10" x14ac:dyDescent="0.25">
      <c r="A82" s="480"/>
      <c r="B82" s="481"/>
      <c r="C82" s="481"/>
      <c r="D82" s="481"/>
      <c r="E82" s="481"/>
      <c r="F82" s="481"/>
      <c r="G82" s="481"/>
      <c r="H82" s="481"/>
      <c r="I82" s="481"/>
      <c r="J82" s="482"/>
    </row>
    <row r="83" spans="1:10" x14ac:dyDescent="0.25">
      <c r="A83" s="480"/>
      <c r="B83" s="481"/>
      <c r="C83" s="481"/>
      <c r="D83" s="481"/>
      <c r="E83" s="481"/>
      <c r="F83" s="481"/>
      <c r="G83" s="481"/>
      <c r="H83" s="481"/>
      <c r="I83" s="481"/>
      <c r="J83" s="482"/>
    </row>
    <row r="84" spans="1:10" x14ac:dyDescent="0.25">
      <c r="A84" s="480"/>
      <c r="B84" s="481"/>
      <c r="C84" s="481"/>
      <c r="D84" s="481"/>
      <c r="E84" s="481"/>
      <c r="F84" s="481"/>
      <c r="G84" s="481"/>
      <c r="H84" s="481"/>
      <c r="I84" s="481"/>
      <c r="J84" s="482"/>
    </row>
    <row r="85" spans="1:10" x14ac:dyDescent="0.25">
      <c r="A85" s="480"/>
      <c r="B85" s="481"/>
      <c r="C85" s="481"/>
      <c r="D85" s="481"/>
      <c r="E85" s="481"/>
      <c r="F85" s="481"/>
      <c r="G85" s="481"/>
      <c r="H85" s="481"/>
      <c r="I85" s="481"/>
      <c r="J85" s="482"/>
    </row>
    <row r="86" spans="1:10" x14ac:dyDescent="0.25">
      <c r="A86" s="480"/>
      <c r="B86" s="481"/>
      <c r="C86" s="481"/>
      <c r="D86" s="481"/>
      <c r="E86" s="481"/>
      <c r="F86" s="481"/>
      <c r="G86" s="481"/>
      <c r="H86" s="481"/>
      <c r="I86" s="481"/>
      <c r="J86" s="482"/>
    </row>
    <row r="87" spans="1:10" x14ac:dyDescent="0.25">
      <c r="A87" s="480"/>
      <c r="B87" s="481"/>
      <c r="C87" s="481"/>
      <c r="D87" s="481"/>
      <c r="E87" s="481"/>
      <c r="F87" s="481"/>
      <c r="G87" s="481"/>
      <c r="H87" s="481"/>
      <c r="I87" s="481"/>
      <c r="J87" s="482"/>
    </row>
    <row r="88" spans="1:10" x14ac:dyDescent="0.25">
      <c r="A88" s="480"/>
      <c r="B88" s="481"/>
      <c r="C88" s="481"/>
      <c r="D88" s="481"/>
      <c r="E88" s="481"/>
      <c r="F88" s="481"/>
      <c r="G88" s="481"/>
      <c r="H88" s="481"/>
      <c r="I88" s="481"/>
      <c r="J88" s="482"/>
    </row>
    <row r="89" spans="1:10" x14ac:dyDescent="0.25">
      <c r="A89" s="480"/>
      <c r="B89" s="481"/>
      <c r="C89" s="481"/>
      <c r="D89" s="481"/>
      <c r="E89" s="481"/>
      <c r="F89" s="481"/>
      <c r="G89" s="481"/>
      <c r="H89" s="481"/>
      <c r="I89" s="481"/>
      <c r="J89" s="482"/>
    </row>
    <row r="90" spans="1:10" x14ac:dyDescent="0.25">
      <c r="A90" s="480"/>
      <c r="B90" s="481"/>
      <c r="C90" s="481"/>
      <c r="D90" s="481"/>
      <c r="E90" s="481"/>
      <c r="F90" s="481"/>
      <c r="G90" s="481"/>
      <c r="H90" s="481"/>
      <c r="I90" s="481"/>
      <c r="J90" s="482"/>
    </row>
    <row r="91" spans="1:10" x14ac:dyDescent="0.25">
      <c r="A91" s="480"/>
      <c r="B91" s="481"/>
      <c r="C91" s="481"/>
      <c r="D91" s="481"/>
      <c r="E91" s="481"/>
      <c r="F91" s="481"/>
      <c r="G91" s="481"/>
      <c r="H91" s="481"/>
      <c r="I91" s="481"/>
      <c r="J91" s="482"/>
    </row>
    <row r="92" spans="1:10" x14ac:dyDescent="0.25">
      <c r="A92" s="480"/>
      <c r="B92" s="481"/>
      <c r="C92" s="481"/>
      <c r="D92" s="481"/>
      <c r="E92" s="481"/>
      <c r="F92" s="481"/>
      <c r="G92" s="481"/>
      <c r="H92" s="481"/>
      <c r="I92" s="481"/>
      <c r="J92" s="482"/>
    </row>
    <row r="93" spans="1:10" x14ac:dyDescent="0.25">
      <c r="A93" s="480"/>
      <c r="B93" s="481"/>
      <c r="C93" s="481"/>
      <c r="D93" s="481"/>
      <c r="E93" s="481"/>
      <c r="F93" s="481"/>
      <c r="G93" s="481"/>
      <c r="H93" s="481"/>
      <c r="I93" s="481"/>
      <c r="J93" s="482"/>
    </row>
    <row r="94" spans="1:10" x14ac:dyDescent="0.25">
      <c r="A94" s="480"/>
      <c r="B94" s="481"/>
      <c r="C94" s="481"/>
      <c r="D94" s="481"/>
      <c r="E94" s="481"/>
      <c r="F94" s="481"/>
      <c r="G94" s="481"/>
      <c r="H94" s="481"/>
      <c r="I94" s="481"/>
      <c r="J94" s="482"/>
    </row>
    <row r="95" spans="1:10" x14ac:dyDescent="0.25">
      <c r="A95" s="480"/>
      <c r="B95" s="481"/>
      <c r="C95" s="481"/>
      <c r="D95" s="481"/>
      <c r="E95" s="481"/>
      <c r="F95" s="481"/>
      <c r="G95" s="481"/>
      <c r="H95" s="481"/>
      <c r="I95" s="481"/>
      <c r="J95" s="482"/>
    </row>
    <row r="96" spans="1:10" x14ac:dyDescent="0.25">
      <c r="A96" s="480"/>
      <c r="B96" s="481"/>
      <c r="C96" s="481"/>
      <c r="D96" s="481"/>
      <c r="E96" s="481"/>
      <c r="F96" s="481"/>
      <c r="G96" s="481"/>
      <c r="H96" s="481"/>
      <c r="I96" s="481"/>
      <c r="J96" s="482"/>
    </row>
    <row r="97" spans="1:10" x14ac:dyDescent="0.25">
      <c r="A97" s="480"/>
      <c r="B97" s="481"/>
      <c r="C97" s="481"/>
      <c r="D97" s="481"/>
      <c r="E97" s="481"/>
      <c r="F97" s="481"/>
      <c r="G97" s="481"/>
      <c r="H97" s="481"/>
      <c r="I97" s="481"/>
      <c r="J97" s="482"/>
    </row>
    <row r="98" spans="1:10" x14ac:dyDescent="0.25">
      <c r="A98" s="480"/>
      <c r="B98" s="481"/>
      <c r="C98" s="481"/>
      <c r="D98" s="481"/>
      <c r="E98" s="481"/>
      <c r="F98" s="481"/>
      <c r="G98" s="481"/>
      <c r="H98" s="481"/>
      <c r="I98" s="481"/>
      <c r="J98" s="482"/>
    </row>
    <row r="99" spans="1:10" x14ac:dyDescent="0.25">
      <c r="A99" s="480"/>
      <c r="B99" s="481"/>
      <c r="C99" s="481"/>
      <c r="D99" s="481"/>
      <c r="E99" s="481"/>
      <c r="F99" s="481"/>
      <c r="G99" s="481"/>
      <c r="H99" s="481"/>
      <c r="I99" s="481"/>
      <c r="J99" s="482"/>
    </row>
    <row r="100" spans="1:10" x14ac:dyDescent="0.25">
      <c r="A100" s="480"/>
      <c r="B100" s="481"/>
      <c r="C100" s="481"/>
      <c r="D100" s="481"/>
      <c r="E100" s="481"/>
      <c r="F100" s="481"/>
      <c r="G100" s="481"/>
      <c r="H100" s="481"/>
      <c r="I100" s="481"/>
      <c r="J100" s="482"/>
    </row>
    <row r="101" spans="1:10" x14ac:dyDescent="0.25">
      <c r="A101" s="480"/>
      <c r="B101" s="481"/>
      <c r="C101" s="481"/>
      <c r="D101" s="481"/>
      <c r="E101" s="481"/>
      <c r="F101" s="481"/>
      <c r="G101" s="481"/>
      <c r="H101" s="481"/>
      <c r="I101" s="481"/>
      <c r="J101" s="482"/>
    </row>
    <row r="102" spans="1:10" x14ac:dyDescent="0.25">
      <c r="A102" s="480"/>
      <c r="B102" s="481"/>
      <c r="C102" s="481"/>
      <c r="D102" s="481"/>
      <c r="E102" s="481"/>
      <c r="F102" s="481"/>
      <c r="G102" s="481"/>
      <c r="H102" s="481"/>
      <c r="I102" s="481"/>
      <c r="J102" s="482"/>
    </row>
    <row r="103" spans="1:10" x14ac:dyDescent="0.25">
      <c r="A103" s="480"/>
      <c r="B103" s="481"/>
      <c r="C103" s="481"/>
      <c r="D103" s="481"/>
      <c r="E103" s="481"/>
      <c r="F103" s="481"/>
      <c r="G103" s="481"/>
      <c r="H103" s="481"/>
      <c r="I103" s="481"/>
      <c r="J103" s="482"/>
    </row>
    <row r="104" spans="1:10" x14ac:dyDescent="0.25">
      <c r="A104" s="480"/>
      <c r="B104" s="481"/>
      <c r="C104" s="481"/>
      <c r="D104" s="481"/>
      <c r="E104" s="481"/>
      <c r="F104" s="481"/>
      <c r="G104" s="481"/>
      <c r="H104" s="481"/>
      <c r="I104" s="481"/>
      <c r="J104" s="482"/>
    </row>
    <row r="105" spans="1:10" x14ac:dyDescent="0.25">
      <c r="A105" s="480"/>
      <c r="B105" s="481"/>
      <c r="C105" s="481"/>
      <c r="D105" s="481"/>
      <c r="E105" s="481"/>
      <c r="F105" s="481"/>
      <c r="G105" s="481"/>
      <c r="H105" s="481"/>
      <c r="I105" s="481"/>
      <c r="J105" s="482"/>
    </row>
    <row r="106" spans="1:10" x14ac:dyDescent="0.25">
      <c r="A106" s="480"/>
      <c r="B106" s="481"/>
      <c r="C106" s="481"/>
      <c r="D106" s="481"/>
      <c r="E106" s="481"/>
      <c r="F106" s="481"/>
      <c r="G106" s="481"/>
      <c r="H106" s="481"/>
      <c r="I106" s="481"/>
      <c r="J106" s="482"/>
    </row>
    <row r="107" spans="1:10" x14ac:dyDescent="0.25">
      <c r="A107" s="480"/>
      <c r="B107" s="481"/>
      <c r="C107" s="481"/>
      <c r="D107" s="481"/>
      <c r="E107" s="481"/>
      <c r="F107" s="481"/>
      <c r="G107" s="481"/>
      <c r="H107" s="481"/>
      <c r="I107" s="481"/>
      <c r="J107" s="482"/>
    </row>
    <row r="108" spans="1:10" x14ac:dyDescent="0.25">
      <c r="A108" s="480"/>
      <c r="B108" s="481"/>
      <c r="C108" s="481"/>
      <c r="D108" s="481"/>
      <c r="E108" s="481"/>
      <c r="F108" s="481"/>
      <c r="G108" s="481"/>
      <c r="H108" s="481"/>
      <c r="I108" s="481"/>
      <c r="J108" s="482"/>
    </row>
    <row r="109" spans="1:10" x14ac:dyDescent="0.25">
      <c r="A109" s="480"/>
      <c r="B109" s="481"/>
      <c r="C109" s="481"/>
      <c r="D109" s="481"/>
      <c r="E109" s="481"/>
      <c r="F109" s="481"/>
      <c r="G109" s="481"/>
      <c r="H109" s="481"/>
      <c r="I109" s="481"/>
      <c r="J109" s="482"/>
    </row>
    <row r="110" spans="1:10" x14ac:dyDescent="0.25">
      <c r="A110" s="483"/>
      <c r="B110" s="484"/>
      <c r="C110" s="484"/>
      <c r="D110" s="484"/>
      <c r="E110" s="484"/>
      <c r="F110" s="484"/>
      <c r="G110" s="484"/>
      <c r="H110" s="484"/>
      <c r="I110" s="484"/>
      <c r="J110" s="485"/>
    </row>
    <row r="112" spans="1:10" ht="15.6" x14ac:dyDescent="0.3">
      <c r="A112" s="351" t="s">
        <v>848</v>
      </c>
      <c r="B112" s="352"/>
      <c r="C112" s="352"/>
      <c r="D112" s="352"/>
      <c r="E112" s="352"/>
      <c r="F112" s="352"/>
      <c r="G112" s="352"/>
      <c r="H112" s="349" t="str">
        <f>'CONTACT INFORMATION'!$A$24</f>
        <v>Fresno</v>
      </c>
      <c r="I112" s="349"/>
      <c r="J112" s="350"/>
    </row>
    <row r="113" spans="1:10" x14ac:dyDescent="0.25">
      <c r="A113" s="163"/>
      <c r="B113" s="163"/>
      <c r="C113" s="163"/>
      <c r="D113" s="163"/>
      <c r="E113" s="163"/>
      <c r="F113" s="163"/>
      <c r="G113" s="163"/>
      <c r="H113" s="163"/>
      <c r="I113" s="163"/>
      <c r="J113" s="163"/>
    </row>
    <row r="114" spans="1:10" ht="13.8" x14ac:dyDescent="0.25">
      <c r="A114" s="458" t="s">
        <v>880</v>
      </c>
      <c r="B114" s="459"/>
      <c r="C114" s="459"/>
      <c r="D114" s="459"/>
      <c r="E114" s="459"/>
      <c r="F114" s="459"/>
      <c r="G114" s="459"/>
      <c r="H114" s="459"/>
      <c r="I114" s="459"/>
      <c r="J114" s="460"/>
    </row>
    <row r="115" spans="1:10" x14ac:dyDescent="0.25">
      <c r="A115" s="455" t="s">
        <v>854</v>
      </c>
      <c r="B115" s="456"/>
      <c r="C115" s="456"/>
      <c r="D115" s="457"/>
      <c r="E115" s="527"/>
      <c r="F115" s="528"/>
      <c r="G115" s="528"/>
      <c r="H115" s="528"/>
      <c r="I115" s="528"/>
      <c r="J115" s="529"/>
    </row>
    <row r="116" spans="1:10" x14ac:dyDescent="0.25">
      <c r="A116" s="495" t="s">
        <v>853</v>
      </c>
      <c r="B116" s="496"/>
      <c r="C116" s="496"/>
      <c r="D116" s="497"/>
      <c r="E116" s="530"/>
      <c r="F116" s="531"/>
      <c r="G116" s="531"/>
      <c r="H116" s="531"/>
      <c r="I116" s="531"/>
      <c r="J116" s="532"/>
    </row>
    <row r="117" spans="1:10" x14ac:dyDescent="0.25">
      <c r="A117" s="524" t="s">
        <v>808</v>
      </c>
      <c r="B117" s="525"/>
      <c r="C117" s="525"/>
      <c r="D117" s="526"/>
      <c r="E117" s="541"/>
      <c r="F117" s="542"/>
      <c r="G117" s="542"/>
      <c r="H117" s="542"/>
      <c r="I117" s="542"/>
      <c r="J117" s="543"/>
    </row>
    <row r="118" spans="1:10" x14ac:dyDescent="0.25">
      <c r="A118" s="157"/>
      <c r="B118" s="208"/>
      <c r="C118" s="208"/>
      <c r="D118" s="208"/>
      <c r="E118" s="474" t="s">
        <v>535</v>
      </c>
      <c r="F118" s="475"/>
      <c r="G118" s="474" t="s">
        <v>533</v>
      </c>
      <c r="H118" s="475"/>
      <c r="I118" s="476" t="s">
        <v>849</v>
      </c>
      <c r="J118" s="477"/>
    </row>
    <row r="119" spans="1:10" x14ac:dyDescent="0.25">
      <c r="A119" s="441" t="s">
        <v>527</v>
      </c>
      <c r="B119" s="442"/>
      <c r="C119" s="442"/>
      <c r="D119" s="443"/>
      <c r="E119" s="449"/>
      <c r="F119" s="449"/>
      <c r="G119" s="449"/>
      <c r="H119" s="449"/>
      <c r="I119" s="450"/>
      <c r="J119" s="450"/>
    </row>
    <row r="120" spans="1:10" x14ac:dyDescent="0.25">
      <c r="A120" s="445" t="s">
        <v>528</v>
      </c>
      <c r="B120" s="446"/>
      <c r="C120" s="446"/>
      <c r="D120" s="447"/>
      <c r="E120" s="432"/>
      <c r="F120" s="432"/>
      <c r="G120" s="433"/>
      <c r="H120" s="433"/>
      <c r="I120" s="448"/>
      <c r="J120" s="448"/>
    </row>
    <row r="121" spans="1:10" x14ac:dyDescent="0.25">
      <c r="A121" s="441" t="s">
        <v>529</v>
      </c>
      <c r="B121" s="442"/>
      <c r="C121" s="442"/>
      <c r="D121" s="443"/>
      <c r="E121" s="449"/>
      <c r="F121" s="449"/>
      <c r="G121" s="449"/>
      <c r="H121" s="449"/>
      <c r="I121" s="450"/>
      <c r="J121" s="450"/>
    </row>
    <row r="122" spans="1:10" x14ac:dyDescent="0.25">
      <c r="A122" s="445" t="s">
        <v>530</v>
      </c>
      <c r="B122" s="446"/>
      <c r="C122" s="446"/>
      <c r="D122" s="447"/>
      <c r="E122" s="432"/>
      <c r="F122" s="432"/>
      <c r="G122" s="433"/>
      <c r="H122" s="433"/>
      <c r="I122" s="448"/>
      <c r="J122" s="448"/>
    </row>
    <row r="123" spans="1:10" x14ac:dyDescent="0.25">
      <c r="A123" s="441" t="s">
        <v>531</v>
      </c>
      <c r="B123" s="442"/>
      <c r="C123" s="442"/>
      <c r="D123" s="443"/>
      <c r="E123" s="449"/>
      <c r="F123" s="449"/>
      <c r="G123" s="449"/>
      <c r="H123" s="449"/>
      <c r="I123" s="450"/>
      <c r="J123" s="450"/>
    </row>
    <row r="124" spans="1:10" x14ac:dyDescent="0.25">
      <c r="A124" s="445" t="s">
        <v>532</v>
      </c>
      <c r="B124" s="446"/>
      <c r="C124" s="446"/>
      <c r="D124" s="447"/>
      <c r="E124" s="432"/>
      <c r="F124" s="432"/>
      <c r="G124" s="433"/>
      <c r="H124" s="433"/>
      <c r="I124" s="448"/>
      <c r="J124" s="448"/>
    </row>
    <row r="125" spans="1:10" x14ac:dyDescent="0.25">
      <c r="A125" s="441" t="s">
        <v>537</v>
      </c>
      <c r="B125" s="442"/>
      <c r="C125" s="442"/>
      <c r="D125" s="443"/>
      <c r="E125" s="444"/>
      <c r="F125" s="444"/>
      <c r="G125" s="444"/>
      <c r="H125" s="444"/>
      <c r="I125" s="438"/>
      <c r="J125" s="438"/>
    </row>
    <row r="126" spans="1:10" x14ac:dyDescent="0.25">
      <c r="A126" s="429"/>
      <c r="B126" s="430"/>
      <c r="C126" s="430"/>
      <c r="D126" s="431"/>
      <c r="E126" s="432"/>
      <c r="F126" s="432"/>
      <c r="G126" s="433"/>
      <c r="H126" s="433"/>
      <c r="I126" s="433"/>
      <c r="J126" s="433"/>
    </row>
    <row r="127" spans="1:10" x14ac:dyDescent="0.25">
      <c r="A127" s="429"/>
      <c r="B127" s="430"/>
      <c r="C127" s="430"/>
      <c r="D127" s="431"/>
      <c r="E127" s="432"/>
      <c r="F127" s="432"/>
      <c r="G127" s="433"/>
      <c r="H127" s="433"/>
      <c r="I127" s="433"/>
      <c r="J127" s="433"/>
    </row>
    <row r="128" spans="1:10" x14ac:dyDescent="0.25">
      <c r="A128" s="429"/>
      <c r="B128" s="430"/>
      <c r="C128" s="430"/>
      <c r="D128" s="431"/>
      <c r="E128" s="432"/>
      <c r="F128" s="432"/>
      <c r="G128" s="433"/>
      <c r="H128" s="433"/>
      <c r="I128" s="433"/>
      <c r="J128" s="433"/>
    </row>
    <row r="129" spans="1:10" x14ac:dyDescent="0.25">
      <c r="A129" s="434" t="s">
        <v>534</v>
      </c>
      <c r="B129" s="435"/>
      <c r="C129" s="435"/>
      <c r="D129" s="436"/>
      <c r="E129" s="437">
        <f>SUM(E119:E128)</f>
        <v>0</v>
      </c>
      <c r="F129" s="437"/>
      <c r="G129" s="437">
        <f>SUM(G119:G128)</f>
        <v>0</v>
      </c>
      <c r="H129" s="437"/>
      <c r="I129" s="437">
        <f>SUM(I119:I128)</f>
        <v>0</v>
      </c>
      <c r="J129" s="437"/>
    </row>
    <row r="130" spans="1:10" x14ac:dyDescent="0.25">
      <c r="A130" s="486" t="s">
        <v>861</v>
      </c>
      <c r="B130" s="487"/>
      <c r="C130" s="487"/>
      <c r="D130" s="487"/>
      <c r="E130" s="487"/>
      <c r="F130" s="487"/>
      <c r="G130" s="487"/>
      <c r="H130" s="487"/>
      <c r="I130" s="487"/>
      <c r="J130" s="488"/>
    </row>
    <row r="131" spans="1:10" x14ac:dyDescent="0.25">
      <c r="A131" s="489" t="s">
        <v>862</v>
      </c>
      <c r="B131" s="490"/>
      <c r="C131" s="490"/>
      <c r="D131" s="490"/>
      <c r="E131" s="490"/>
      <c r="F131" s="490"/>
      <c r="G131" s="490"/>
      <c r="H131" s="490"/>
      <c r="I131" s="490"/>
      <c r="J131" s="491"/>
    </row>
    <row r="132" spans="1:10" x14ac:dyDescent="0.25">
      <c r="A132" s="489" t="s">
        <v>863</v>
      </c>
      <c r="B132" s="490"/>
      <c r="C132" s="490"/>
      <c r="D132" s="490"/>
      <c r="E132" s="490"/>
      <c r="F132" s="490"/>
      <c r="G132" s="490"/>
      <c r="H132" s="490"/>
      <c r="I132" s="490"/>
      <c r="J132" s="491"/>
    </row>
    <row r="133" spans="1:10" x14ac:dyDescent="0.25">
      <c r="A133" s="492" t="s">
        <v>864</v>
      </c>
      <c r="B133" s="493"/>
      <c r="C133" s="493"/>
      <c r="D133" s="493"/>
      <c r="E133" s="493"/>
      <c r="F133" s="493"/>
      <c r="G133" s="493"/>
      <c r="H133" s="493"/>
      <c r="I133" s="493"/>
      <c r="J133" s="494"/>
    </row>
    <row r="134" spans="1:10" x14ac:dyDescent="0.25">
      <c r="A134" s="300"/>
      <c r="B134" s="478"/>
      <c r="C134" s="478"/>
      <c r="D134" s="478"/>
      <c r="E134" s="478"/>
      <c r="F134" s="478"/>
      <c r="G134" s="478"/>
      <c r="H134" s="478"/>
      <c r="I134" s="478"/>
      <c r="J134" s="479"/>
    </row>
    <row r="135" spans="1:10" x14ac:dyDescent="0.25">
      <c r="A135" s="480"/>
      <c r="B135" s="481"/>
      <c r="C135" s="481"/>
      <c r="D135" s="481"/>
      <c r="E135" s="481"/>
      <c r="F135" s="481"/>
      <c r="G135" s="481"/>
      <c r="H135" s="481"/>
      <c r="I135" s="481"/>
      <c r="J135" s="482"/>
    </row>
    <row r="136" spans="1:10" x14ac:dyDescent="0.25">
      <c r="A136" s="480"/>
      <c r="B136" s="481"/>
      <c r="C136" s="481"/>
      <c r="D136" s="481"/>
      <c r="E136" s="481"/>
      <c r="F136" s="481"/>
      <c r="G136" s="481"/>
      <c r="H136" s="481"/>
      <c r="I136" s="481"/>
      <c r="J136" s="482"/>
    </row>
    <row r="137" spans="1:10" x14ac:dyDescent="0.25">
      <c r="A137" s="480"/>
      <c r="B137" s="481"/>
      <c r="C137" s="481"/>
      <c r="D137" s="481"/>
      <c r="E137" s="481"/>
      <c r="F137" s="481"/>
      <c r="G137" s="481"/>
      <c r="H137" s="481"/>
      <c r="I137" s="481"/>
      <c r="J137" s="482"/>
    </row>
    <row r="138" spans="1:10" x14ac:dyDescent="0.25">
      <c r="A138" s="480"/>
      <c r="B138" s="481"/>
      <c r="C138" s="481"/>
      <c r="D138" s="481"/>
      <c r="E138" s="481"/>
      <c r="F138" s="481"/>
      <c r="G138" s="481"/>
      <c r="H138" s="481"/>
      <c r="I138" s="481"/>
      <c r="J138" s="482"/>
    </row>
    <row r="139" spans="1:10" x14ac:dyDescent="0.25">
      <c r="A139" s="480"/>
      <c r="B139" s="481"/>
      <c r="C139" s="481"/>
      <c r="D139" s="481"/>
      <c r="E139" s="481"/>
      <c r="F139" s="481"/>
      <c r="G139" s="481"/>
      <c r="H139" s="481"/>
      <c r="I139" s="481"/>
      <c r="J139" s="482"/>
    </row>
    <row r="140" spans="1:10" x14ac:dyDescent="0.25">
      <c r="A140" s="480"/>
      <c r="B140" s="481"/>
      <c r="C140" s="481"/>
      <c r="D140" s="481"/>
      <c r="E140" s="481"/>
      <c r="F140" s="481"/>
      <c r="G140" s="481"/>
      <c r="H140" s="481"/>
      <c r="I140" s="481"/>
      <c r="J140" s="482"/>
    </row>
    <row r="141" spans="1:10" x14ac:dyDescent="0.25">
      <c r="A141" s="480"/>
      <c r="B141" s="481"/>
      <c r="C141" s="481"/>
      <c r="D141" s="481"/>
      <c r="E141" s="481"/>
      <c r="F141" s="481"/>
      <c r="G141" s="481"/>
      <c r="H141" s="481"/>
      <c r="I141" s="481"/>
      <c r="J141" s="482"/>
    </row>
    <row r="142" spans="1:10" x14ac:dyDescent="0.25">
      <c r="A142" s="480"/>
      <c r="B142" s="481"/>
      <c r="C142" s="481"/>
      <c r="D142" s="481"/>
      <c r="E142" s="481"/>
      <c r="F142" s="481"/>
      <c r="G142" s="481"/>
      <c r="H142" s="481"/>
      <c r="I142" s="481"/>
      <c r="J142" s="482"/>
    </row>
    <row r="143" spans="1:10" x14ac:dyDescent="0.25">
      <c r="A143" s="480"/>
      <c r="B143" s="481"/>
      <c r="C143" s="481"/>
      <c r="D143" s="481"/>
      <c r="E143" s="481"/>
      <c r="F143" s="481"/>
      <c r="G143" s="481"/>
      <c r="H143" s="481"/>
      <c r="I143" s="481"/>
      <c r="J143" s="482"/>
    </row>
    <row r="144" spans="1:10" x14ac:dyDescent="0.25">
      <c r="A144" s="480"/>
      <c r="B144" s="481"/>
      <c r="C144" s="481"/>
      <c r="D144" s="481"/>
      <c r="E144" s="481"/>
      <c r="F144" s="481"/>
      <c r="G144" s="481"/>
      <c r="H144" s="481"/>
      <c r="I144" s="481"/>
      <c r="J144" s="482"/>
    </row>
    <row r="145" spans="1:10" x14ac:dyDescent="0.25">
      <c r="A145" s="480"/>
      <c r="B145" s="481"/>
      <c r="C145" s="481"/>
      <c r="D145" s="481"/>
      <c r="E145" s="481"/>
      <c r="F145" s="481"/>
      <c r="G145" s="481"/>
      <c r="H145" s="481"/>
      <c r="I145" s="481"/>
      <c r="J145" s="482"/>
    </row>
    <row r="146" spans="1:10" x14ac:dyDescent="0.25">
      <c r="A146" s="480"/>
      <c r="B146" s="481"/>
      <c r="C146" s="481"/>
      <c r="D146" s="481"/>
      <c r="E146" s="481"/>
      <c r="F146" s="481"/>
      <c r="G146" s="481"/>
      <c r="H146" s="481"/>
      <c r="I146" s="481"/>
      <c r="J146" s="482"/>
    </row>
    <row r="147" spans="1:10" x14ac:dyDescent="0.25">
      <c r="A147" s="480"/>
      <c r="B147" s="481"/>
      <c r="C147" s="481"/>
      <c r="D147" s="481"/>
      <c r="E147" s="481"/>
      <c r="F147" s="481"/>
      <c r="G147" s="481"/>
      <c r="H147" s="481"/>
      <c r="I147" s="481"/>
      <c r="J147" s="482"/>
    </row>
    <row r="148" spans="1:10" x14ac:dyDescent="0.25">
      <c r="A148" s="480"/>
      <c r="B148" s="481"/>
      <c r="C148" s="481"/>
      <c r="D148" s="481"/>
      <c r="E148" s="481"/>
      <c r="F148" s="481"/>
      <c r="G148" s="481"/>
      <c r="H148" s="481"/>
      <c r="I148" s="481"/>
      <c r="J148" s="482"/>
    </row>
    <row r="149" spans="1:10" x14ac:dyDescent="0.25">
      <c r="A149" s="480"/>
      <c r="B149" s="481"/>
      <c r="C149" s="481"/>
      <c r="D149" s="481"/>
      <c r="E149" s="481"/>
      <c r="F149" s="481"/>
      <c r="G149" s="481"/>
      <c r="H149" s="481"/>
      <c r="I149" s="481"/>
      <c r="J149" s="482"/>
    </row>
    <row r="150" spans="1:10" x14ac:dyDescent="0.25">
      <c r="A150" s="480"/>
      <c r="B150" s="481"/>
      <c r="C150" s="481"/>
      <c r="D150" s="481"/>
      <c r="E150" s="481"/>
      <c r="F150" s="481"/>
      <c r="G150" s="481"/>
      <c r="H150" s="481"/>
      <c r="I150" s="481"/>
      <c r="J150" s="482"/>
    </row>
    <row r="151" spans="1:10" x14ac:dyDescent="0.25">
      <c r="A151" s="480"/>
      <c r="B151" s="481"/>
      <c r="C151" s="481"/>
      <c r="D151" s="481"/>
      <c r="E151" s="481"/>
      <c r="F151" s="481"/>
      <c r="G151" s="481"/>
      <c r="H151" s="481"/>
      <c r="I151" s="481"/>
      <c r="J151" s="482"/>
    </row>
    <row r="152" spans="1:10" x14ac:dyDescent="0.25">
      <c r="A152" s="480"/>
      <c r="B152" s="481"/>
      <c r="C152" s="481"/>
      <c r="D152" s="481"/>
      <c r="E152" s="481"/>
      <c r="F152" s="481"/>
      <c r="G152" s="481"/>
      <c r="H152" s="481"/>
      <c r="I152" s="481"/>
      <c r="J152" s="482"/>
    </row>
    <row r="153" spans="1:10" x14ac:dyDescent="0.25">
      <c r="A153" s="480"/>
      <c r="B153" s="481"/>
      <c r="C153" s="481"/>
      <c r="D153" s="481"/>
      <c r="E153" s="481"/>
      <c r="F153" s="481"/>
      <c r="G153" s="481"/>
      <c r="H153" s="481"/>
      <c r="I153" s="481"/>
      <c r="J153" s="482"/>
    </row>
    <row r="154" spans="1:10" x14ac:dyDescent="0.25">
      <c r="A154" s="480"/>
      <c r="B154" s="481"/>
      <c r="C154" s="481"/>
      <c r="D154" s="481"/>
      <c r="E154" s="481"/>
      <c r="F154" s="481"/>
      <c r="G154" s="481"/>
      <c r="H154" s="481"/>
      <c r="I154" s="481"/>
      <c r="J154" s="482"/>
    </row>
    <row r="155" spans="1:10" x14ac:dyDescent="0.25">
      <c r="A155" s="480"/>
      <c r="B155" s="481"/>
      <c r="C155" s="481"/>
      <c r="D155" s="481"/>
      <c r="E155" s="481"/>
      <c r="F155" s="481"/>
      <c r="G155" s="481"/>
      <c r="H155" s="481"/>
      <c r="I155" s="481"/>
      <c r="J155" s="482"/>
    </row>
    <row r="156" spans="1:10" x14ac:dyDescent="0.25">
      <c r="A156" s="480"/>
      <c r="B156" s="481"/>
      <c r="C156" s="481"/>
      <c r="D156" s="481"/>
      <c r="E156" s="481"/>
      <c r="F156" s="481"/>
      <c r="G156" s="481"/>
      <c r="H156" s="481"/>
      <c r="I156" s="481"/>
      <c r="J156" s="482"/>
    </row>
    <row r="157" spans="1:10" x14ac:dyDescent="0.25">
      <c r="A157" s="480"/>
      <c r="B157" s="481"/>
      <c r="C157" s="481"/>
      <c r="D157" s="481"/>
      <c r="E157" s="481"/>
      <c r="F157" s="481"/>
      <c r="G157" s="481"/>
      <c r="H157" s="481"/>
      <c r="I157" s="481"/>
      <c r="J157" s="482"/>
    </row>
    <row r="158" spans="1:10" x14ac:dyDescent="0.25">
      <c r="A158" s="480"/>
      <c r="B158" s="481"/>
      <c r="C158" s="481"/>
      <c r="D158" s="481"/>
      <c r="E158" s="481"/>
      <c r="F158" s="481"/>
      <c r="G158" s="481"/>
      <c r="H158" s="481"/>
      <c r="I158" s="481"/>
      <c r="J158" s="482"/>
    </row>
    <row r="159" spans="1:10" x14ac:dyDescent="0.25">
      <c r="A159" s="480"/>
      <c r="B159" s="481"/>
      <c r="C159" s="481"/>
      <c r="D159" s="481"/>
      <c r="E159" s="481"/>
      <c r="F159" s="481"/>
      <c r="G159" s="481"/>
      <c r="H159" s="481"/>
      <c r="I159" s="481"/>
      <c r="J159" s="482"/>
    </row>
    <row r="160" spans="1:10" x14ac:dyDescent="0.25">
      <c r="A160" s="480"/>
      <c r="B160" s="481"/>
      <c r="C160" s="481"/>
      <c r="D160" s="481"/>
      <c r="E160" s="481"/>
      <c r="F160" s="481"/>
      <c r="G160" s="481"/>
      <c r="H160" s="481"/>
      <c r="I160" s="481"/>
      <c r="J160" s="482"/>
    </row>
    <row r="161" spans="1:10" x14ac:dyDescent="0.25">
      <c r="A161" s="480"/>
      <c r="B161" s="481"/>
      <c r="C161" s="481"/>
      <c r="D161" s="481"/>
      <c r="E161" s="481"/>
      <c r="F161" s="481"/>
      <c r="G161" s="481"/>
      <c r="H161" s="481"/>
      <c r="I161" s="481"/>
      <c r="J161" s="482"/>
    </row>
    <row r="162" spans="1:10" x14ac:dyDescent="0.25">
      <c r="A162" s="480"/>
      <c r="B162" s="481"/>
      <c r="C162" s="481"/>
      <c r="D162" s="481"/>
      <c r="E162" s="481"/>
      <c r="F162" s="481"/>
      <c r="G162" s="481"/>
      <c r="H162" s="481"/>
      <c r="I162" s="481"/>
      <c r="J162" s="482"/>
    </row>
    <row r="163" spans="1:10" x14ac:dyDescent="0.25">
      <c r="A163" s="480"/>
      <c r="B163" s="481"/>
      <c r="C163" s="481"/>
      <c r="D163" s="481"/>
      <c r="E163" s="481"/>
      <c r="F163" s="481"/>
      <c r="G163" s="481"/>
      <c r="H163" s="481"/>
      <c r="I163" s="481"/>
      <c r="J163" s="482"/>
    </row>
    <row r="164" spans="1:10" x14ac:dyDescent="0.25">
      <c r="A164" s="480"/>
      <c r="B164" s="481"/>
      <c r="C164" s="481"/>
      <c r="D164" s="481"/>
      <c r="E164" s="481"/>
      <c r="F164" s="481"/>
      <c r="G164" s="481"/>
      <c r="H164" s="481"/>
      <c r="I164" s="481"/>
      <c r="J164" s="482"/>
    </row>
    <row r="165" spans="1:10" x14ac:dyDescent="0.25">
      <c r="A165" s="483"/>
      <c r="B165" s="484"/>
      <c r="C165" s="484"/>
      <c r="D165" s="484"/>
      <c r="E165" s="484"/>
      <c r="F165" s="484"/>
      <c r="G165" s="484"/>
      <c r="H165" s="484"/>
      <c r="I165" s="484"/>
      <c r="J165" s="485"/>
    </row>
    <row r="166" spans="1:10" x14ac:dyDescent="0.25">
      <c r="A166" s="39"/>
      <c r="B166" s="39"/>
      <c r="C166" s="39"/>
      <c r="D166" s="39"/>
      <c r="E166" s="39"/>
      <c r="F166" s="39"/>
      <c r="G166" s="39"/>
      <c r="H166" s="39"/>
      <c r="I166" s="39"/>
      <c r="J166" s="39"/>
    </row>
    <row r="167" spans="1:10" ht="15.6" x14ac:dyDescent="0.3">
      <c r="A167" s="351" t="s">
        <v>848</v>
      </c>
      <c r="B167" s="352"/>
      <c r="C167" s="352"/>
      <c r="D167" s="352"/>
      <c r="E167" s="352"/>
      <c r="F167" s="352"/>
      <c r="G167" s="352"/>
      <c r="H167" s="349" t="str">
        <f>'CONTACT INFORMATION'!$A$24</f>
        <v>Fresno</v>
      </c>
      <c r="I167" s="349"/>
      <c r="J167" s="350"/>
    </row>
    <row r="168" spans="1:10" x14ac:dyDescent="0.25">
      <c r="A168" s="163"/>
      <c r="B168" s="163"/>
      <c r="C168" s="163"/>
      <c r="D168" s="163"/>
      <c r="E168" s="163"/>
      <c r="F168" s="163"/>
      <c r="G168" s="163"/>
      <c r="H168" s="163"/>
      <c r="I168" s="163"/>
      <c r="J168" s="163"/>
    </row>
    <row r="169" spans="1:10" ht="13.8" x14ac:dyDescent="0.25">
      <c r="A169" s="458" t="s">
        <v>881</v>
      </c>
      <c r="B169" s="459"/>
      <c r="C169" s="459"/>
      <c r="D169" s="459"/>
      <c r="E169" s="459"/>
      <c r="F169" s="459"/>
      <c r="G169" s="459"/>
      <c r="H169" s="459"/>
      <c r="I169" s="459"/>
      <c r="J169" s="460"/>
    </row>
    <row r="170" spans="1:10" x14ac:dyDescent="0.25">
      <c r="A170" s="455" t="s">
        <v>854</v>
      </c>
      <c r="B170" s="456"/>
      <c r="C170" s="456"/>
      <c r="D170" s="457"/>
      <c r="E170" s="527"/>
      <c r="F170" s="528"/>
      <c r="G170" s="528"/>
      <c r="H170" s="528"/>
      <c r="I170" s="528"/>
      <c r="J170" s="529"/>
    </row>
    <row r="171" spans="1:10" x14ac:dyDescent="0.25">
      <c r="A171" s="495" t="s">
        <v>853</v>
      </c>
      <c r="B171" s="496"/>
      <c r="C171" s="496"/>
      <c r="D171" s="497"/>
      <c r="E171" s="530"/>
      <c r="F171" s="531"/>
      <c r="G171" s="531"/>
      <c r="H171" s="531"/>
      <c r="I171" s="531"/>
      <c r="J171" s="532"/>
    </row>
    <row r="172" spans="1:10" x14ac:dyDescent="0.25">
      <c r="A172" s="524" t="s">
        <v>808</v>
      </c>
      <c r="B172" s="525"/>
      <c r="C172" s="525"/>
      <c r="D172" s="526"/>
      <c r="E172" s="541"/>
      <c r="F172" s="542"/>
      <c r="G172" s="542"/>
      <c r="H172" s="542"/>
      <c r="I172" s="542"/>
      <c r="J172" s="543"/>
    </row>
    <row r="173" spans="1:10" x14ac:dyDescent="0.25">
      <c r="A173" s="157"/>
      <c r="B173" s="208"/>
      <c r="C173" s="208"/>
      <c r="D173" s="208"/>
      <c r="E173" s="474" t="s">
        <v>535</v>
      </c>
      <c r="F173" s="475"/>
      <c r="G173" s="474" t="s">
        <v>533</v>
      </c>
      <c r="H173" s="475"/>
      <c r="I173" s="476" t="s">
        <v>849</v>
      </c>
      <c r="J173" s="477"/>
    </row>
    <row r="174" spans="1:10" x14ac:dyDescent="0.25">
      <c r="A174" s="441" t="s">
        <v>527</v>
      </c>
      <c r="B174" s="442"/>
      <c r="C174" s="442"/>
      <c r="D174" s="443"/>
      <c r="E174" s="449"/>
      <c r="F174" s="449"/>
      <c r="G174" s="449"/>
      <c r="H174" s="449"/>
      <c r="I174" s="450"/>
      <c r="J174" s="450"/>
    </row>
    <row r="175" spans="1:10" x14ac:dyDescent="0.25">
      <c r="A175" s="445" t="s">
        <v>528</v>
      </c>
      <c r="B175" s="446"/>
      <c r="C175" s="446"/>
      <c r="D175" s="447"/>
      <c r="E175" s="432"/>
      <c r="F175" s="432"/>
      <c r="G175" s="433"/>
      <c r="H175" s="433"/>
      <c r="I175" s="448"/>
      <c r="J175" s="448"/>
    </row>
    <row r="176" spans="1:10" x14ac:dyDescent="0.25">
      <c r="A176" s="441" t="s">
        <v>529</v>
      </c>
      <c r="B176" s="442"/>
      <c r="C176" s="442"/>
      <c r="D176" s="443"/>
      <c r="E176" s="449"/>
      <c r="F176" s="449"/>
      <c r="G176" s="449"/>
      <c r="H176" s="449"/>
      <c r="I176" s="450"/>
      <c r="J176" s="450"/>
    </row>
    <row r="177" spans="1:10" x14ac:dyDescent="0.25">
      <c r="A177" s="445" t="s">
        <v>530</v>
      </c>
      <c r="B177" s="446"/>
      <c r="C177" s="446"/>
      <c r="D177" s="447"/>
      <c r="E177" s="432"/>
      <c r="F177" s="432"/>
      <c r="G177" s="433"/>
      <c r="H177" s="433"/>
      <c r="I177" s="448"/>
      <c r="J177" s="448"/>
    </row>
    <row r="178" spans="1:10" x14ac:dyDescent="0.25">
      <c r="A178" s="441" t="s">
        <v>531</v>
      </c>
      <c r="B178" s="442"/>
      <c r="C178" s="442"/>
      <c r="D178" s="443"/>
      <c r="E178" s="449"/>
      <c r="F178" s="449"/>
      <c r="G178" s="449"/>
      <c r="H178" s="449"/>
      <c r="I178" s="450"/>
      <c r="J178" s="450"/>
    </row>
    <row r="179" spans="1:10" x14ac:dyDescent="0.25">
      <c r="A179" s="445" t="s">
        <v>532</v>
      </c>
      <c r="B179" s="446"/>
      <c r="C179" s="446"/>
      <c r="D179" s="447"/>
      <c r="E179" s="432"/>
      <c r="F179" s="432"/>
      <c r="G179" s="433"/>
      <c r="H179" s="433"/>
      <c r="I179" s="448"/>
      <c r="J179" s="448"/>
    </row>
    <row r="180" spans="1:10" x14ac:dyDescent="0.25">
      <c r="A180" s="441" t="s">
        <v>537</v>
      </c>
      <c r="B180" s="442"/>
      <c r="C180" s="442"/>
      <c r="D180" s="443"/>
      <c r="E180" s="444"/>
      <c r="F180" s="444"/>
      <c r="G180" s="444"/>
      <c r="H180" s="444"/>
      <c r="I180" s="438"/>
      <c r="J180" s="438"/>
    </row>
    <row r="181" spans="1:10" x14ac:dyDescent="0.25">
      <c r="A181" s="429"/>
      <c r="B181" s="430"/>
      <c r="C181" s="430"/>
      <c r="D181" s="431"/>
      <c r="E181" s="432"/>
      <c r="F181" s="432"/>
      <c r="G181" s="433"/>
      <c r="H181" s="433"/>
      <c r="I181" s="433"/>
      <c r="J181" s="433"/>
    </row>
    <row r="182" spans="1:10" x14ac:dyDescent="0.25">
      <c r="A182" s="429"/>
      <c r="B182" s="430"/>
      <c r="C182" s="430"/>
      <c r="D182" s="431"/>
      <c r="E182" s="432"/>
      <c r="F182" s="432"/>
      <c r="G182" s="433"/>
      <c r="H182" s="433"/>
      <c r="I182" s="433"/>
      <c r="J182" s="433"/>
    </row>
    <row r="183" spans="1:10" x14ac:dyDescent="0.25">
      <c r="A183" s="429"/>
      <c r="B183" s="430"/>
      <c r="C183" s="430"/>
      <c r="D183" s="431"/>
      <c r="E183" s="432"/>
      <c r="F183" s="432"/>
      <c r="G183" s="433"/>
      <c r="H183" s="433"/>
      <c r="I183" s="433"/>
      <c r="J183" s="433"/>
    </row>
    <row r="184" spans="1:10" x14ac:dyDescent="0.25">
      <c r="A184" s="434" t="s">
        <v>534</v>
      </c>
      <c r="B184" s="435"/>
      <c r="C184" s="435"/>
      <c r="D184" s="436"/>
      <c r="E184" s="437">
        <f>SUM(E174:E183)</f>
        <v>0</v>
      </c>
      <c r="F184" s="437"/>
      <c r="G184" s="437">
        <f>SUM(G174:G183)</f>
        <v>0</v>
      </c>
      <c r="H184" s="437"/>
      <c r="I184" s="437">
        <f>SUM(I174:I183)</f>
        <v>0</v>
      </c>
      <c r="J184" s="437"/>
    </row>
    <row r="185" spans="1:10" x14ac:dyDescent="0.25">
      <c r="A185" s="486" t="s">
        <v>861</v>
      </c>
      <c r="B185" s="487"/>
      <c r="C185" s="487"/>
      <c r="D185" s="487"/>
      <c r="E185" s="487"/>
      <c r="F185" s="487"/>
      <c r="G185" s="487"/>
      <c r="H185" s="487"/>
      <c r="I185" s="487"/>
      <c r="J185" s="488"/>
    </row>
    <row r="186" spans="1:10" x14ac:dyDescent="0.25">
      <c r="A186" s="489" t="s">
        <v>862</v>
      </c>
      <c r="B186" s="490"/>
      <c r="C186" s="490"/>
      <c r="D186" s="490"/>
      <c r="E186" s="490"/>
      <c r="F186" s="490"/>
      <c r="G186" s="490"/>
      <c r="H186" s="490"/>
      <c r="I186" s="490"/>
      <c r="J186" s="491"/>
    </row>
    <row r="187" spans="1:10" x14ac:dyDescent="0.25">
      <c r="A187" s="489" t="s">
        <v>863</v>
      </c>
      <c r="B187" s="490"/>
      <c r="C187" s="490"/>
      <c r="D187" s="490"/>
      <c r="E187" s="490"/>
      <c r="F187" s="490"/>
      <c r="G187" s="490"/>
      <c r="H187" s="490"/>
      <c r="I187" s="490"/>
      <c r="J187" s="491"/>
    </row>
    <row r="188" spans="1:10" x14ac:dyDescent="0.25">
      <c r="A188" s="492" t="s">
        <v>864</v>
      </c>
      <c r="B188" s="493"/>
      <c r="C188" s="493"/>
      <c r="D188" s="493"/>
      <c r="E188" s="493"/>
      <c r="F188" s="493"/>
      <c r="G188" s="493"/>
      <c r="H188" s="493"/>
      <c r="I188" s="493"/>
      <c r="J188" s="494"/>
    </row>
    <row r="189" spans="1:10" x14ac:dyDescent="0.25">
      <c r="A189" s="300"/>
      <c r="B189" s="478"/>
      <c r="C189" s="478"/>
      <c r="D189" s="478"/>
      <c r="E189" s="478"/>
      <c r="F189" s="478"/>
      <c r="G189" s="478"/>
      <c r="H189" s="478"/>
      <c r="I189" s="478"/>
      <c r="J189" s="479"/>
    </row>
    <row r="190" spans="1:10" x14ac:dyDescent="0.25">
      <c r="A190" s="480"/>
      <c r="B190" s="481"/>
      <c r="C190" s="481"/>
      <c r="D190" s="481"/>
      <c r="E190" s="481"/>
      <c r="F190" s="481"/>
      <c r="G190" s="481"/>
      <c r="H190" s="481"/>
      <c r="I190" s="481"/>
      <c r="J190" s="482"/>
    </row>
    <row r="191" spans="1:10" x14ac:dyDescent="0.25">
      <c r="A191" s="480"/>
      <c r="B191" s="481"/>
      <c r="C191" s="481"/>
      <c r="D191" s="481"/>
      <c r="E191" s="481"/>
      <c r="F191" s="481"/>
      <c r="G191" s="481"/>
      <c r="H191" s="481"/>
      <c r="I191" s="481"/>
      <c r="J191" s="482"/>
    </row>
    <row r="192" spans="1:10" x14ac:dyDescent="0.25">
      <c r="A192" s="480"/>
      <c r="B192" s="481"/>
      <c r="C192" s="481"/>
      <c r="D192" s="481"/>
      <c r="E192" s="481"/>
      <c r="F192" s="481"/>
      <c r="G192" s="481"/>
      <c r="H192" s="481"/>
      <c r="I192" s="481"/>
      <c r="J192" s="482"/>
    </row>
    <row r="193" spans="1:10" x14ac:dyDescent="0.25">
      <c r="A193" s="480"/>
      <c r="B193" s="481"/>
      <c r="C193" s="481"/>
      <c r="D193" s="481"/>
      <c r="E193" s="481"/>
      <c r="F193" s="481"/>
      <c r="G193" s="481"/>
      <c r="H193" s="481"/>
      <c r="I193" s="481"/>
      <c r="J193" s="482"/>
    </row>
    <row r="194" spans="1:10" x14ac:dyDescent="0.25">
      <c r="A194" s="480"/>
      <c r="B194" s="481"/>
      <c r="C194" s="481"/>
      <c r="D194" s="481"/>
      <c r="E194" s="481"/>
      <c r="F194" s="481"/>
      <c r="G194" s="481"/>
      <c r="H194" s="481"/>
      <c r="I194" s="481"/>
      <c r="J194" s="482"/>
    </row>
    <row r="195" spans="1:10" x14ac:dyDescent="0.25">
      <c r="A195" s="480"/>
      <c r="B195" s="481"/>
      <c r="C195" s="481"/>
      <c r="D195" s="481"/>
      <c r="E195" s="481"/>
      <c r="F195" s="481"/>
      <c r="G195" s="481"/>
      <c r="H195" s="481"/>
      <c r="I195" s="481"/>
      <c r="J195" s="482"/>
    </row>
    <row r="196" spans="1:10" x14ac:dyDescent="0.25">
      <c r="A196" s="480"/>
      <c r="B196" s="481"/>
      <c r="C196" s="481"/>
      <c r="D196" s="481"/>
      <c r="E196" s="481"/>
      <c r="F196" s="481"/>
      <c r="G196" s="481"/>
      <c r="H196" s="481"/>
      <c r="I196" s="481"/>
      <c r="J196" s="482"/>
    </row>
    <row r="197" spans="1:10" x14ac:dyDescent="0.25">
      <c r="A197" s="480"/>
      <c r="B197" s="481"/>
      <c r="C197" s="481"/>
      <c r="D197" s="481"/>
      <c r="E197" s="481"/>
      <c r="F197" s="481"/>
      <c r="G197" s="481"/>
      <c r="H197" s="481"/>
      <c r="I197" s="481"/>
      <c r="J197" s="482"/>
    </row>
    <row r="198" spans="1:10" x14ac:dyDescent="0.25">
      <c r="A198" s="480"/>
      <c r="B198" s="481"/>
      <c r="C198" s="481"/>
      <c r="D198" s="481"/>
      <c r="E198" s="481"/>
      <c r="F198" s="481"/>
      <c r="G198" s="481"/>
      <c r="H198" s="481"/>
      <c r="I198" s="481"/>
      <c r="J198" s="482"/>
    </row>
    <row r="199" spans="1:10" x14ac:dyDescent="0.25">
      <c r="A199" s="480"/>
      <c r="B199" s="481"/>
      <c r="C199" s="481"/>
      <c r="D199" s="481"/>
      <c r="E199" s="481"/>
      <c r="F199" s="481"/>
      <c r="G199" s="481"/>
      <c r="H199" s="481"/>
      <c r="I199" s="481"/>
      <c r="J199" s="482"/>
    </row>
    <row r="200" spans="1:10" x14ac:dyDescent="0.25">
      <c r="A200" s="480"/>
      <c r="B200" s="481"/>
      <c r="C200" s="481"/>
      <c r="D200" s="481"/>
      <c r="E200" s="481"/>
      <c r="F200" s="481"/>
      <c r="G200" s="481"/>
      <c r="H200" s="481"/>
      <c r="I200" s="481"/>
      <c r="J200" s="482"/>
    </row>
    <row r="201" spans="1:10" x14ac:dyDescent="0.25">
      <c r="A201" s="480"/>
      <c r="B201" s="481"/>
      <c r="C201" s="481"/>
      <c r="D201" s="481"/>
      <c r="E201" s="481"/>
      <c r="F201" s="481"/>
      <c r="G201" s="481"/>
      <c r="H201" s="481"/>
      <c r="I201" s="481"/>
      <c r="J201" s="482"/>
    </row>
    <row r="202" spans="1:10" x14ac:dyDescent="0.25">
      <c r="A202" s="480"/>
      <c r="B202" s="481"/>
      <c r="C202" s="481"/>
      <c r="D202" s="481"/>
      <c r="E202" s="481"/>
      <c r="F202" s="481"/>
      <c r="G202" s="481"/>
      <c r="H202" s="481"/>
      <c r="I202" s="481"/>
      <c r="J202" s="482"/>
    </row>
    <row r="203" spans="1:10" x14ac:dyDescent="0.25">
      <c r="A203" s="480"/>
      <c r="B203" s="481"/>
      <c r="C203" s="481"/>
      <c r="D203" s="481"/>
      <c r="E203" s="481"/>
      <c r="F203" s="481"/>
      <c r="G203" s="481"/>
      <c r="H203" s="481"/>
      <c r="I203" s="481"/>
      <c r="J203" s="482"/>
    </row>
    <row r="204" spans="1:10" x14ac:dyDescent="0.25">
      <c r="A204" s="480"/>
      <c r="B204" s="481"/>
      <c r="C204" s="481"/>
      <c r="D204" s="481"/>
      <c r="E204" s="481"/>
      <c r="F204" s="481"/>
      <c r="G204" s="481"/>
      <c r="H204" s="481"/>
      <c r="I204" s="481"/>
      <c r="J204" s="482"/>
    </row>
    <row r="205" spans="1:10" x14ac:dyDescent="0.25">
      <c r="A205" s="480"/>
      <c r="B205" s="481"/>
      <c r="C205" s="481"/>
      <c r="D205" s="481"/>
      <c r="E205" s="481"/>
      <c r="F205" s="481"/>
      <c r="G205" s="481"/>
      <c r="H205" s="481"/>
      <c r="I205" s="481"/>
      <c r="J205" s="482"/>
    </row>
    <row r="206" spans="1:10" x14ac:dyDescent="0.25">
      <c r="A206" s="480"/>
      <c r="B206" s="481"/>
      <c r="C206" s="481"/>
      <c r="D206" s="481"/>
      <c r="E206" s="481"/>
      <c r="F206" s="481"/>
      <c r="G206" s="481"/>
      <c r="H206" s="481"/>
      <c r="I206" s="481"/>
      <c r="J206" s="482"/>
    </row>
    <row r="207" spans="1:10" x14ac:dyDescent="0.25">
      <c r="A207" s="480"/>
      <c r="B207" s="481"/>
      <c r="C207" s="481"/>
      <c r="D207" s="481"/>
      <c r="E207" s="481"/>
      <c r="F207" s="481"/>
      <c r="G207" s="481"/>
      <c r="H207" s="481"/>
      <c r="I207" s="481"/>
      <c r="J207" s="482"/>
    </row>
    <row r="208" spans="1:10" x14ac:dyDescent="0.25">
      <c r="A208" s="480"/>
      <c r="B208" s="481"/>
      <c r="C208" s="481"/>
      <c r="D208" s="481"/>
      <c r="E208" s="481"/>
      <c r="F208" s="481"/>
      <c r="G208" s="481"/>
      <c r="H208" s="481"/>
      <c r="I208" s="481"/>
      <c r="J208" s="482"/>
    </row>
    <row r="209" spans="1:10" x14ac:dyDescent="0.25">
      <c r="A209" s="480"/>
      <c r="B209" s="481"/>
      <c r="C209" s="481"/>
      <c r="D209" s="481"/>
      <c r="E209" s="481"/>
      <c r="F209" s="481"/>
      <c r="G209" s="481"/>
      <c r="H209" s="481"/>
      <c r="I209" s="481"/>
      <c r="J209" s="482"/>
    </row>
    <row r="210" spans="1:10" x14ac:dyDescent="0.25">
      <c r="A210" s="480"/>
      <c r="B210" s="481"/>
      <c r="C210" s="481"/>
      <c r="D210" s="481"/>
      <c r="E210" s="481"/>
      <c r="F210" s="481"/>
      <c r="G210" s="481"/>
      <c r="H210" s="481"/>
      <c r="I210" s="481"/>
      <c r="J210" s="482"/>
    </row>
    <row r="211" spans="1:10" x14ac:dyDescent="0.25">
      <c r="A211" s="480"/>
      <c r="B211" s="481"/>
      <c r="C211" s="481"/>
      <c r="D211" s="481"/>
      <c r="E211" s="481"/>
      <c r="F211" s="481"/>
      <c r="G211" s="481"/>
      <c r="H211" s="481"/>
      <c r="I211" s="481"/>
      <c r="J211" s="482"/>
    </row>
    <row r="212" spans="1:10" x14ac:dyDescent="0.25">
      <c r="A212" s="480"/>
      <c r="B212" s="481"/>
      <c r="C212" s="481"/>
      <c r="D212" s="481"/>
      <c r="E212" s="481"/>
      <c r="F212" s="481"/>
      <c r="G212" s="481"/>
      <c r="H212" s="481"/>
      <c r="I212" s="481"/>
      <c r="J212" s="482"/>
    </row>
    <row r="213" spans="1:10" x14ac:dyDescent="0.25">
      <c r="A213" s="480"/>
      <c r="B213" s="481"/>
      <c r="C213" s="481"/>
      <c r="D213" s="481"/>
      <c r="E213" s="481"/>
      <c r="F213" s="481"/>
      <c r="G213" s="481"/>
      <c r="H213" s="481"/>
      <c r="I213" s="481"/>
      <c r="J213" s="482"/>
    </row>
    <row r="214" spans="1:10" x14ac:dyDescent="0.25">
      <c r="A214" s="480"/>
      <c r="B214" s="481"/>
      <c r="C214" s="481"/>
      <c r="D214" s="481"/>
      <c r="E214" s="481"/>
      <c r="F214" s="481"/>
      <c r="G214" s="481"/>
      <c r="H214" s="481"/>
      <c r="I214" s="481"/>
      <c r="J214" s="482"/>
    </row>
    <row r="215" spans="1:10" x14ac:dyDescent="0.25">
      <c r="A215" s="480"/>
      <c r="B215" s="481"/>
      <c r="C215" s="481"/>
      <c r="D215" s="481"/>
      <c r="E215" s="481"/>
      <c r="F215" s="481"/>
      <c r="G215" s="481"/>
      <c r="H215" s="481"/>
      <c r="I215" s="481"/>
      <c r="J215" s="482"/>
    </row>
    <row r="216" spans="1:10" x14ac:dyDescent="0.25">
      <c r="A216" s="480"/>
      <c r="B216" s="481"/>
      <c r="C216" s="481"/>
      <c r="D216" s="481"/>
      <c r="E216" s="481"/>
      <c r="F216" s="481"/>
      <c r="G216" s="481"/>
      <c r="H216" s="481"/>
      <c r="I216" s="481"/>
      <c r="J216" s="482"/>
    </row>
    <row r="217" spans="1:10" x14ac:dyDescent="0.25">
      <c r="A217" s="480"/>
      <c r="B217" s="481"/>
      <c r="C217" s="481"/>
      <c r="D217" s="481"/>
      <c r="E217" s="481"/>
      <c r="F217" s="481"/>
      <c r="G217" s="481"/>
      <c r="H217" s="481"/>
      <c r="I217" s="481"/>
      <c r="J217" s="482"/>
    </row>
    <row r="218" spans="1:10" x14ac:dyDescent="0.25">
      <c r="A218" s="480"/>
      <c r="B218" s="481"/>
      <c r="C218" s="481"/>
      <c r="D218" s="481"/>
      <c r="E218" s="481"/>
      <c r="F218" s="481"/>
      <c r="G218" s="481"/>
      <c r="H218" s="481"/>
      <c r="I218" s="481"/>
      <c r="J218" s="482"/>
    </row>
    <row r="219" spans="1:10" x14ac:dyDescent="0.25">
      <c r="A219" s="480"/>
      <c r="B219" s="481"/>
      <c r="C219" s="481"/>
      <c r="D219" s="481"/>
      <c r="E219" s="481"/>
      <c r="F219" s="481"/>
      <c r="G219" s="481"/>
      <c r="H219" s="481"/>
      <c r="I219" s="481"/>
      <c r="J219" s="482"/>
    </row>
    <row r="220" spans="1:10" x14ac:dyDescent="0.25">
      <c r="A220" s="483"/>
      <c r="B220" s="484"/>
      <c r="C220" s="484"/>
      <c r="D220" s="484"/>
      <c r="E220" s="484"/>
      <c r="F220" s="484"/>
      <c r="G220" s="484"/>
      <c r="H220" s="484"/>
      <c r="I220" s="484"/>
      <c r="J220" s="485"/>
    </row>
    <row r="222" spans="1:10" ht="15.6" x14ac:dyDescent="0.3">
      <c r="A222" s="351" t="s">
        <v>848</v>
      </c>
      <c r="B222" s="352"/>
      <c r="C222" s="352"/>
      <c r="D222" s="352"/>
      <c r="E222" s="352"/>
      <c r="F222" s="352"/>
      <c r="G222" s="352"/>
      <c r="H222" s="349" t="str">
        <f>'CONTACT INFORMATION'!$A$24</f>
        <v>Fresno</v>
      </c>
      <c r="I222" s="349"/>
      <c r="J222" s="350"/>
    </row>
    <row r="223" spans="1:10" x14ac:dyDescent="0.25">
      <c r="A223" s="163"/>
      <c r="B223" s="163"/>
      <c r="C223" s="163"/>
      <c r="D223" s="163"/>
      <c r="E223" s="163"/>
      <c r="F223" s="163"/>
      <c r="G223" s="163"/>
      <c r="H223" s="163"/>
      <c r="I223" s="163"/>
      <c r="J223" s="163"/>
    </row>
    <row r="224" spans="1:10" ht="13.8" x14ac:dyDescent="0.25">
      <c r="A224" s="458" t="s">
        <v>882</v>
      </c>
      <c r="B224" s="459"/>
      <c r="C224" s="459"/>
      <c r="D224" s="459"/>
      <c r="E224" s="459"/>
      <c r="F224" s="459"/>
      <c r="G224" s="459"/>
      <c r="H224" s="459"/>
      <c r="I224" s="459"/>
      <c r="J224" s="460"/>
    </row>
    <row r="225" spans="1:10" x14ac:dyDescent="0.25">
      <c r="A225" s="455" t="s">
        <v>854</v>
      </c>
      <c r="B225" s="456"/>
      <c r="C225" s="456"/>
      <c r="D225" s="457"/>
      <c r="E225" s="527"/>
      <c r="F225" s="528"/>
      <c r="G225" s="528"/>
      <c r="H225" s="528"/>
      <c r="I225" s="528"/>
      <c r="J225" s="529"/>
    </row>
    <row r="226" spans="1:10" x14ac:dyDescent="0.25">
      <c r="A226" s="495" t="s">
        <v>853</v>
      </c>
      <c r="B226" s="496"/>
      <c r="C226" s="496"/>
      <c r="D226" s="497"/>
      <c r="E226" s="530"/>
      <c r="F226" s="531"/>
      <c r="G226" s="531"/>
      <c r="H226" s="531"/>
      <c r="I226" s="531"/>
      <c r="J226" s="532"/>
    </row>
    <row r="227" spans="1:10" x14ac:dyDescent="0.25">
      <c r="A227" s="524" t="s">
        <v>808</v>
      </c>
      <c r="B227" s="525"/>
      <c r="C227" s="525"/>
      <c r="D227" s="526"/>
      <c r="E227" s="541"/>
      <c r="F227" s="542"/>
      <c r="G227" s="542"/>
      <c r="H227" s="542"/>
      <c r="I227" s="542"/>
      <c r="J227" s="543"/>
    </row>
    <row r="228" spans="1:10" x14ac:dyDescent="0.25">
      <c r="A228" s="157"/>
      <c r="B228" s="208"/>
      <c r="C228" s="208"/>
      <c r="D228" s="208"/>
      <c r="E228" s="474" t="s">
        <v>535</v>
      </c>
      <c r="F228" s="475"/>
      <c r="G228" s="474" t="s">
        <v>533</v>
      </c>
      <c r="H228" s="475"/>
      <c r="I228" s="476" t="s">
        <v>849</v>
      </c>
      <c r="J228" s="477"/>
    </row>
    <row r="229" spans="1:10" x14ac:dyDescent="0.25">
      <c r="A229" s="441" t="s">
        <v>527</v>
      </c>
      <c r="B229" s="442"/>
      <c r="C229" s="442"/>
      <c r="D229" s="443"/>
      <c r="E229" s="449"/>
      <c r="F229" s="449"/>
      <c r="G229" s="449"/>
      <c r="H229" s="449"/>
      <c r="I229" s="450"/>
      <c r="J229" s="450"/>
    </row>
    <row r="230" spans="1:10" x14ac:dyDescent="0.25">
      <c r="A230" s="445" t="s">
        <v>528</v>
      </c>
      <c r="B230" s="446"/>
      <c r="C230" s="446"/>
      <c r="D230" s="447"/>
      <c r="E230" s="432"/>
      <c r="F230" s="432"/>
      <c r="G230" s="433"/>
      <c r="H230" s="433"/>
      <c r="I230" s="448"/>
      <c r="J230" s="448"/>
    </row>
    <row r="231" spans="1:10" x14ac:dyDescent="0.25">
      <c r="A231" s="441" t="s">
        <v>529</v>
      </c>
      <c r="B231" s="442"/>
      <c r="C231" s="442"/>
      <c r="D231" s="443"/>
      <c r="E231" s="449"/>
      <c r="F231" s="449"/>
      <c r="G231" s="449"/>
      <c r="H231" s="449"/>
      <c r="I231" s="450"/>
      <c r="J231" s="450"/>
    </row>
    <row r="232" spans="1:10" x14ac:dyDescent="0.25">
      <c r="A232" s="445" t="s">
        <v>530</v>
      </c>
      <c r="B232" s="446"/>
      <c r="C232" s="446"/>
      <c r="D232" s="447"/>
      <c r="E232" s="432"/>
      <c r="F232" s="432"/>
      <c r="G232" s="433"/>
      <c r="H232" s="433"/>
      <c r="I232" s="448"/>
      <c r="J232" s="448"/>
    </row>
    <row r="233" spans="1:10" x14ac:dyDescent="0.25">
      <c r="A233" s="441" t="s">
        <v>531</v>
      </c>
      <c r="B233" s="442"/>
      <c r="C233" s="442"/>
      <c r="D233" s="443"/>
      <c r="E233" s="449"/>
      <c r="F233" s="449"/>
      <c r="G233" s="449"/>
      <c r="H233" s="449"/>
      <c r="I233" s="450"/>
      <c r="J233" s="450"/>
    </row>
    <row r="234" spans="1:10" x14ac:dyDescent="0.25">
      <c r="A234" s="445" t="s">
        <v>532</v>
      </c>
      <c r="B234" s="446"/>
      <c r="C234" s="446"/>
      <c r="D234" s="447"/>
      <c r="E234" s="432"/>
      <c r="F234" s="432"/>
      <c r="G234" s="433"/>
      <c r="H234" s="433"/>
      <c r="I234" s="448"/>
      <c r="J234" s="448"/>
    </row>
    <row r="235" spans="1:10" x14ac:dyDescent="0.25">
      <c r="A235" s="441" t="s">
        <v>537</v>
      </c>
      <c r="B235" s="442"/>
      <c r="C235" s="442"/>
      <c r="D235" s="443"/>
      <c r="E235" s="444"/>
      <c r="F235" s="444"/>
      <c r="G235" s="444"/>
      <c r="H235" s="444"/>
      <c r="I235" s="438"/>
      <c r="J235" s="438"/>
    </row>
    <row r="236" spans="1:10" x14ac:dyDescent="0.25">
      <c r="A236" s="429"/>
      <c r="B236" s="430"/>
      <c r="C236" s="430"/>
      <c r="D236" s="431"/>
      <c r="E236" s="432"/>
      <c r="F236" s="432"/>
      <c r="G236" s="433"/>
      <c r="H236" s="433"/>
      <c r="I236" s="433"/>
      <c r="J236" s="433"/>
    </row>
    <row r="237" spans="1:10" x14ac:dyDescent="0.25">
      <c r="A237" s="429"/>
      <c r="B237" s="430"/>
      <c r="C237" s="430"/>
      <c r="D237" s="431"/>
      <c r="E237" s="432"/>
      <c r="F237" s="432"/>
      <c r="G237" s="433"/>
      <c r="H237" s="433"/>
      <c r="I237" s="433"/>
      <c r="J237" s="433"/>
    </row>
    <row r="238" spans="1:10" x14ac:dyDescent="0.25">
      <c r="A238" s="429"/>
      <c r="B238" s="430"/>
      <c r="C238" s="430"/>
      <c r="D238" s="431"/>
      <c r="E238" s="432"/>
      <c r="F238" s="432"/>
      <c r="G238" s="433"/>
      <c r="H238" s="433"/>
      <c r="I238" s="433"/>
      <c r="J238" s="433"/>
    </row>
    <row r="239" spans="1:10" x14ac:dyDescent="0.25">
      <c r="A239" s="434" t="s">
        <v>534</v>
      </c>
      <c r="B239" s="435"/>
      <c r="C239" s="435"/>
      <c r="D239" s="436"/>
      <c r="E239" s="437">
        <f>SUM(E229:E238)</f>
        <v>0</v>
      </c>
      <c r="F239" s="437"/>
      <c r="G239" s="437">
        <f>SUM(G229:G238)</f>
        <v>0</v>
      </c>
      <c r="H239" s="437"/>
      <c r="I239" s="437">
        <f>SUM(I229:I238)</f>
        <v>0</v>
      </c>
      <c r="J239" s="437"/>
    </row>
    <row r="240" spans="1:10" x14ac:dyDescent="0.25">
      <c r="A240" s="486" t="s">
        <v>861</v>
      </c>
      <c r="B240" s="487"/>
      <c r="C240" s="487"/>
      <c r="D240" s="487"/>
      <c r="E240" s="487"/>
      <c r="F240" s="487"/>
      <c r="G240" s="487"/>
      <c r="H240" s="487"/>
      <c r="I240" s="487"/>
      <c r="J240" s="488"/>
    </row>
    <row r="241" spans="1:10" x14ac:dyDescent="0.25">
      <c r="A241" s="489" t="s">
        <v>862</v>
      </c>
      <c r="B241" s="490"/>
      <c r="C241" s="490"/>
      <c r="D241" s="490"/>
      <c r="E241" s="490"/>
      <c r="F241" s="490"/>
      <c r="G241" s="490"/>
      <c r="H241" s="490"/>
      <c r="I241" s="490"/>
      <c r="J241" s="491"/>
    </row>
    <row r="242" spans="1:10" x14ac:dyDescent="0.25">
      <c r="A242" s="489" t="s">
        <v>863</v>
      </c>
      <c r="B242" s="490"/>
      <c r="C242" s="490"/>
      <c r="D242" s="490"/>
      <c r="E242" s="490"/>
      <c r="F242" s="490"/>
      <c r="G242" s="490"/>
      <c r="H242" s="490"/>
      <c r="I242" s="490"/>
      <c r="J242" s="491"/>
    </row>
    <row r="243" spans="1:10" x14ac:dyDescent="0.25">
      <c r="A243" s="492" t="s">
        <v>864</v>
      </c>
      <c r="B243" s="493"/>
      <c r="C243" s="493"/>
      <c r="D243" s="493"/>
      <c r="E243" s="493"/>
      <c r="F243" s="493"/>
      <c r="G243" s="493"/>
      <c r="H243" s="493"/>
      <c r="I243" s="493"/>
      <c r="J243" s="494"/>
    </row>
    <row r="244" spans="1:10" x14ac:dyDescent="0.25">
      <c r="A244" s="300"/>
      <c r="B244" s="478"/>
      <c r="C244" s="478"/>
      <c r="D244" s="478"/>
      <c r="E244" s="478"/>
      <c r="F244" s="478"/>
      <c r="G244" s="478"/>
      <c r="H244" s="478"/>
      <c r="I244" s="478"/>
      <c r="J244" s="479"/>
    </row>
    <row r="245" spans="1:10" x14ac:dyDescent="0.25">
      <c r="A245" s="480"/>
      <c r="B245" s="481"/>
      <c r="C245" s="481"/>
      <c r="D245" s="481"/>
      <c r="E245" s="481"/>
      <c r="F245" s="481"/>
      <c r="G245" s="481"/>
      <c r="H245" s="481"/>
      <c r="I245" s="481"/>
      <c r="J245" s="482"/>
    </row>
    <row r="246" spans="1:10" x14ac:dyDescent="0.25">
      <c r="A246" s="480"/>
      <c r="B246" s="481"/>
      <c r="C246" s="481"/>
      <c r="D246" s="481"/>
      <c r="E246" s="481"/>
      <c r="F246" s="481"/>
      <c r="G246" s="481"/>
      <c r="H246" s="481"/>
      <c r="I246" s="481"/>
      <c r="J246" s="482"/>
    </row>
    <row r="247" spans="1:10" x14ac:dyDescent="0.25">
      <c r="A247" s="480"/>
      <c r="B247" s="481"/>
      <c r="C247" s="481"/>
      <c r="D247" s="481"/>
      <c r="E247" s="481"/>
      <c r="F247" s="481"/>
      <c r="G247" s="481"/>
      <c r="H247" s="481"/>
      <c r="I247" s="481"/>
      <c r="J247" s="482"/>
    </row>
    <row r="248" spans="1:10" x14ac:dyDescent="0.25">
      <c r="A248" s="480"/>
      <c r="B248" s="481"/>
      <c r="C248" s="481"/>
      <c r="D248" s="481"/>
      <c r="E248" s="481"/>
      <c r="F248" s="481"/>
      <c r="G248" s="481"/>
      <c r="H248" s="481"/>
      <c r="I248" s="481"/>
      <c r="J248" s="482"/>
    </row>
    <row r="249" spans="1:10" x14ac:dyDescent="0.25">
      <c r="A249" s="480"/>
      <c r="B249" s="481"/>
      <c r="C249" s="481"/>
      <c r="D249" s="481"/>
      <c r="E249" s="481"/>
      <c r="F249" s="481"/>
      <c r="G249" s="481"/>
      <c r="H249" s="481"/>
      <c r="I249" s="481"/>
      <c r="J249" s="482"/>
    </row>
    <row r="250" spans="1:10" x14ac:dyDescent="0.25">
      <c r="A250" s="480"/>
      <c r="B250" s="481"/>
      <c r="C250" s="481"/>
      <c r="D250" s="481"/>
      <c r="E250" s="481"/>
      <c r="F250" s="481"/>
      <c r="G250" s="481"/>
      <c r="H250" s="481"/>
      <c r="I250" s="481"/>
      <c r="J250" s="482"/>
    </row>
    <row r="251" spans="1:10" x14ac:dyDescent="0.25">
      <c r="A251" s="480"/>
      <c r="B251" s="481"/>
      <c r="C251" s="481"/>
      <c r="D251" s="481"/>
      <c r="E251" s="481"/>
      <c r="F251" s="481"/>
      <c r="G251" s="481"/>
      <c r="H251" s="481"/>
      <c r="I251" s="481"/>
      <c r="J251" s="482"/>
    </row>
    <row r="252" spans="1:10" x14ac:dyDescent="0.25">
      <c r="A252" s="480"/>
      <c r="B252" s="481"/>
      <c r="C252" s="481"/>
      <c r="D252" s="481"/>
      <c r="E252" s="481"/>
      <c r="F252" s="481"/>
      <c r="G252" s="481"/>
      <c r="H252" s="481"/>
      <c r="I252" s="481"/>
      <c r="J252" s="482"/>
    </row>
    <row r="253" spans="1:10" x14ac:dyDescent="0.25">
      <c r="A253" s="480"/>
      <c r="B253" s="481"/>
      <c r="C253" s="481"/>
      <c r="D253" s="481"/>
      <c r="E253" s="481"/>
      <c r="F253" s="481"/>
      <c r="G253" s="481"/>
      <c r="H253" s="481"/>
      <c r="I253" s="481"/>
      <c r="J253" s="482"/>
    </row>
    <row r="254" spans="1:10" x14ac:dyDescent="0.25">
      <c r="A254" s="480"/>
      <c r="B254" s="481"/>
      <c r="C254" s="481"/>
      <c r="D254" s="481"/>
      <c r="E254" s="481"/>
      <c r="F254" s="481"/>
      <c r="G254" s="481"/>
      <c r="H254" s="481"/>
      <c r="I254" s="481"/>
      <c r="J254" s="482"/>
    </row>
    <row r="255" spans="1:10" x14ac:dyDescent="0.25">
      <c r="A255" s="480"/>
      <c r="B255" s="481"/>
      <c r="C255" s="481"/>
      <c r="D255" s="481"/>
      <c r="E255" s="481"/>
      <c r="F255" s="481"/>
      <c r="G255" s="481"/>
      <c r="H255" s="481"/>
      <c r="I255" s="481"/>
      <c r="J255" s="482"/>
    </row>
    <row r="256" spans="1:10" x14ac:dyDescent="0.25">
      <c r="A256" s="480"/>
      <c r="B256" s="481"/>
      <c r="C256" s="481"/>
      <c r="D256" s="481"/>
      <c r="E256" s="481"/>
      <c r="F256" s="481"/>
      <c r="G256" s="481"/>
      <c r="H256" s="481"/>
      <c r="I256" s="481"/>
      <c r="J256" s="482"/>
    </row>
    <row r="257" spans="1:10" x14ac:dyDescent="0.25">
      <c r="A257" s="480"/>
      <c r="B257" s="481"/>
      <c r="C257" s="481"/>
      <c r="D257" s="481"/>
      <c r="E257" s="481"/>
      <c r="F257" s="481"/>
      <c r="G257" s="481"/>
      <c r="H257" s="481"/>
      <c r="I257" s="481"/>
      <c r="J257" s="482"/>
    </row>
    <row r="258" spans="1:10" x14ac:dyDescent="0.25">
      <c r="A258" s="480"/>
      <c r="B258" s="481"/>
      <c r="C258" s="481"/>
      <c r="D258" s="481"/>
      <c r="E258" s="481"/>
      <c r="F258" s="481"/>
      <c r="G258" s="481"/>
      <c r="H258" s="481"/>
      <c r="I258" s="481"/>
      <c r="J258" s="482"/>
    </row>
    <row r="259" spans="1:10" x14ac:dyDescent="0.25">
      <c r="A259" s="480"/>
      <c r="B259" s="481"/>
      <c r="C259" s="481"/>
      <c r="D259" s="481"/>
      <c r="E259" s="481"/>
      <c r="F259" s="481"/>
      <c r="G259" s="481"/>
      <c r="H259" s="481"/>
      <c r="I259" s="481"/>
      <c r="J259" s="482"/>
    </row>
    <row r="260" spans="1:10" x14ac:dyDescent="0.25">
      <c r="A260" s="480"/>
      <c r="B260" s="481"/>
      <c r="C260" s="481"/>
      <c r="D260" s="481"/>
      <c r="E260" s="481"/>
      <c r="F260" s="481"/>
      <c r="G260" s="481"/>
      <c r="H260" s="481"/>
      <c r="I260" s="481"/>
      <c r="J260" s="482"/>
    </row>
    <row r="261" spans="1:10" x14ac:dyDescent="0.25">
      <c r="A261" s="480"/>
      <c r="B261" s="481"/>
      <c r="C261" s="481"/>
      <c r="D261" s="481"/>
      <c r="E261" s="481"/>
      <c r="F261" s="481"/>
      <c r="G261" s="481"/>
      <c r="H261" s="481"/>
      <c r="I261" s="481"/>
      <c r="J261" s="482"/>
    </row>
    <row r="262" spans="1:10" x14ac:dyDescent="0.25">
      <c r="A262" s="480"/>
      <c r="B262" s="481"/>
      <c r="C262" s="481"/>
      <c r="D262" s="481"/>
      <c r="E262" s="481"/>
      <c r="F262" s="481"/>
      <c r="G262" s="481"/>
      <c r="H262" s="481"/>
      <c r="I262" s="481"/>
      <c r="J262" s="482"/>
    </row>
    <row r="263" spans="1:10" x14ac:dyDescent="0.25">
      <c r="A263" s="480"/>
      <c r="B263" s="481"/>
      <c r="C263" s="481"/>
      <c r="D263" s="481"/>
      <c r="E263" s="481"/>
      <c r="F263" s="481"/>
      <c r="G263" s="481"/>
      <c r="H263" s="481"/>
      <c r="I263" s="481"/>
      <c r="J263" s="482"/>
    </row>
    <row r="264" spans="1:10" x14ac:dyDescent="0.25">
      <c r="A264" s="480"/>
      <c r="B264" s="481"/>
      <c r="C264" s="481"/>
      <c r="D264" s="481"/>
      <c r="E264" s="481"/>
      <c r="F264" s="481"/>
      <c r="G264" s="481"/>
      <c r="H264" s="481"/>
      <c r="I264" s="481"/>
      <c r="J264" s="482"/>
    </row>
    <row r="265" spans="1:10" x14ac:dyDescent="0.25">
      <c r="A265" s="480"/>
      <c r="B265" s="481"/>
      <c r="C265" s="481"/>
      <c r="D265" s="481"/>
      <c r="E265" s="481"/>
      <c r="F265" s="481"/>
      <c r="G265" s="481"/>
      <c r="H265" s="481"/>
      <c r="I265" s="481"/>
      <c r="J265" s="482"/>
    </row>
    <row r="266" spans="1:10" x14ac:dyDescent="0.25">
      <c r="A266" s="480"/>
      <c r="B266" s="481"/>
      <c r="C266" s="481"/>
      <c r="D266" s="481"/>
      <c r="E266" s="481"/>
      <c r="F266" s="481"/>
      <c r="G266" s="481"/>
      <c r="H266" s="481"/>
      <c r="I266" s="481"/>
      <c r="J266" s="482"/>
    </row>
    <row r="267" spans="1:10" x14ac:dyDescent="0.25">
      <c r="A267" s="480"/>
      <c r="B267" s="481"/>
      <c r="C267" s="481"/>
      <c r="D267" s="481"/>
      <c r="E267" s="481"/>
      <c r="F267" s="481"/>
      <c r="G267" s="481"/>
      <c r="H267" s="481"/>
      <c r="I267" s="481"/>
      <c r="J267" s="482"/>
    </row>
    <row r="268" spans="1:10" x14ac:dyDescent="0.25">
      <c r="A268" s="480"/>
      <c r="B268" s="481"/>
      <c r="C268" s="481"/>
      <c r="D268" s="481"/>
      <c r="E268" s="481"/>
      <c r="F268" s="481"/>
      <c r="G268" s="481"/>
      <c r="H268" s="481"/>
      <c r="I268" s="481"/>
      <c r="J268" s="482"/>
    </row>
    <row r="269" spans="1:10" x14ac:dyDescent="0.25">
      <c r="A269" s="480"/>
      <c r="B269" s="481"/>
      <c r="C269" s="481"/>
      <c r="D269" s="481"/>
      <c r="E269" s="481"/>
      <c r="F269" s="481"/>
      <c r="G269" s="481"/>
      <c r="H269" s="481"/>
      <c r="I269" s="481"/>
      <c r="J269" s="482"/>
    </row>
    <row r="270" spans="1:10" x14ac:dyDescent="0.25">
      <c r="A270" s="480"/>
      <c r="B270" s="481"/>
      <c r="C270" s="481"/>
      <c r="D270" s="481"/>
      <c r="E270" s="481"/>
      <c r="F270" s="481"/>
      <c r="G270" s="481"/>
      <c r="H270" s="481"/>
      <c r="I270" s="481"/>
      <c r="J270" s="482"/>
    </row>
    <row r="271" spans="1:10" x14ac:dyDescent="0.25">
      <c r="A271" s="480"/>
      <c r="B271" s="481"/>
      <c r="C271" s="481"/>
      <c r="D271" s="481"/>
      <c r="E271" s="481"/>
      <c r="F271" s="481"/>
      <c r="G271" s="481"/>
      <c r="H271" s="481"/>
      <c r="I271" s="481"/>
      <c r="J271" s="482"/>
    </row>
    <row r="272" spans="1:10" x14ac:dyDescent="0.25">
      <c r="A272" s="480"/>
      <c r="B272" s="481"/>
      <c r="C272" s="481"/>
      <c r="D272" s="481"/>
      <c r="E272" s="481"/>
      <c r="F272" s="481"/>
      <c r="G272" s="481"/>
      <c r="H272" s="481"/>
      <c r="I272" s="481"/>
      <c r="J272" s="482"/>
    </row>
    <row r="273" spans="1:10" x14ac:dyDescent="0.25">
      <c r="A273" s="480"/>
      <c r="B273" s="481"/>
      <c r="C273" s="481"/>
      <c r="D273" s="481"/>
      <c r="E273" s="481"/>
      <c r="F273" s="481"/>
      <c r="G273" s="481"/>
      <c r="H273" s="481"/>
      <c r="I273" s="481"/>
      <c r="J273" s="482"/>
    </row>
    <row r="274" spans="1:10" x14ac:dyDescent="0.25">
      <c r="A274" s="480"/>
      <c r="B274" s="481"/>
      <c r="C274" s="481"/>
      <c r="D274" s="481"/>
      <c r="E274" s="481"/>
      <c r="F274" s="481"/>
      <c r="G274" s="481"/>
      <c r="H274" s="481"/>
      <c r="I274" s="481"/>
      <c r="J274" s="482"/>
    </row>
    <row r="275" spans="1:10" x14ac:dyDescent="0.25">
      <c r="A275" s="483"/>
      <c r="B275" s="484"/>
      <c r="C275" s="484"/>
      <c r="D275" s="484"/>
      <c r="E275" s="484"/>
      <c r="F275" s="484"/>
      <c r="G275" s="484"/>
      <c r="H275" s="484"/>
      <c r="I275" s="484"/>
      <c r="J275" s="485"/>
    </row>
    <row r="277" spans="1:10" ht="15.6" x14ac:dyDescent="0.3">
      <c r="A277" s="351" t="s">
        <v>848</v>
      </c>
      <c r="B277" s="352"/>
      <c r="C277" s="352"/>
      <c r="D277" s="352"/>
      <c r="E277" s="352"/>
      <c r="F277" s="352"/>
      <c r="G277" s="352"/>
      <c r="H277" s="349" t="str">
        <f>'CONTACT INFORMATION'!$A$24</f>
        <v>Fresno</v>
      </c>
      <c r="I277" s="349"/>
      <c r="J277" s="350"/>
    </row>
    <row r="278" spans="1:10" ht="15.6" x14ac:dyDescent="0.3">
      <c r="A278" s="57"/>
      <c r="B278" s="57"/>
      <c r="C278" s="57"/>
      <c r="D278" s="57"/>
      <c r="E278" s="57"/>
      <c r="F278" s="57"/>
      <c r="G278" s="57"/>
      <c r="H278" s="57"/>
      <c r="I278" s="57"/>
      <c r="J278" s="57"/>
    </row>
    <row r="279" spans="1:10" ht="13.8" x14ac:dyDescent="0.25">
      <c r="A279" s="458" t="s">
        <v>902</v>
      </c>
      <c r="B279" s="459"/>
      <c r="C279" s="459"/>
      <c r="D279" s="459"/>
      <c r="E279" s="459"/>
      <c r="F279" s="459"/>
      <c r="G279" s="459"/>
      <c r="H279" s="459"/>
      <c r="I279" s="459"/>
      <c r="J279" s="460"/>
    </row>
    <row r="280" spans="1:10" ht="13.2" customHeight="1" x14ac:dyDescent="0.25">
      <c r="A280" s="455" t="s">
        <v>854</v>
      </c>
      <c r="B280" s="519"/>
      <c r="C280" s="519"/>
      <c r="D280" s="520"/>
      <c r="E280" s="527"/>
      <c r="F280" s="528"/>
      <c r="G280" s="528"/>
      <c r="H280" s="528"/>
      <c r="I280" s="528"/>
      <c r="J280" s="529"/>
    </row>
    <row r="281" spans="1:10" ht="13.2" customHeight="1" x14ac:dyDescent="0.25">
      <c r="A281" s="495" t="s">
        <v>853</v>
      </c>
      <c r="B281" s="496"/>
      <c r="C281" s="496"/>
      <c r="D281" s="497"/>
      <c r="E281" s="530"/>
      <c r="F281" s="531"/>
      <c r="G281" s="531"/>
      <c r="H281" s="531"/>
      <c r="I281" s="531"/>
      <c r="J281" s="532"/>
    </row>
    <row r="282" spans="1:10" x14ac:dyDescent="0.25">
      <c r="A282" s="521" t="s">
        <v>808</v>
      </c>
      <c r="B282" s="522"/>
      <c r="C282" s="522"/>
      <c r="D282" s="523"/>
      <c r="E282" s="471"/>
      <c r="F282" s="472"/>
      <c r="G282" s="472"/>
      <c r="H282" s="472"/>
      <c r="I282" s="472"/>
      <c r="J282" s="473"/>
    </row>
    <row r="283" spans="1:10" ht="13.2" customHeight="1" x14ac:dyDescent="0.25">
      <c r="A283" s="58"/>
      <c r="B283" s="59"/>
      <c r="C283" s="59"/>
      <c r="D283" s="59"/>
      <c r="E283" s="550" t="s">
        <v>535</v>
      </c>
      <c r="F283" s="550"/>
      <c r="G283" s="550" t="s">
        <v>533</v>
      </c>
      <c r="H283" s="550"/>
      <c r="I283" s="551" t="s">
        <v>849</v>
      </c>
      <c r="J283" s="552"/>
    </row>
    <row r="284" spans="1:10" x14ac:dyDescent="0.25">
      <c r="A284" s="441" t="s">
        <v>527</v>
      </c>
      <c r="B284" s="442"/>
      <c r="C284" s="442"/>
      <c r="D284" s="443"/>
      <c r="E284" s="553"/>
      <c r="F284" s="554"/>
      <c r="G284" s="553"/>
      <c r="H284" s="554"/>
      <c r="I284" s="555"/>
      <c r="J284" s="556"/>
    </row>
    <row r="285" spans="1:10" x14ac:dyDescent="0.25">
      <c r="A285" s="445" t="s">
        <v>528</v>
      </c>
      <c r="B285" s="446"/>
      <c r="C285" s="446"/>
      <c r="D285" s="447"/>
      <c r="E285" s="548"/>
      <c r="F285" s="549"/>
      <c r="G285" s="546"/>
      <c r="H285" s="547"/>
      <c r="I285" s="544"/>
      <c r="J285" s="545"/>
    </row>
    <row r="286" spans="1:10" x14ac:dyDescent="0.25">
      <c r="A286" s="441" t="s">
        <v>529</v>
      </c>
      <c r="B286" s="442"/>
      <c r="C286" s="442"/>
      <c r="D286" s="443"/>
      <c r="E286" s="553"/>
      <c r="F286" s="554"/>
      <c r="G286" s="553"/>
      <c r="H286" s="554"/>
      <c r="I286" s="555"/>
      <c r="J286" s="556"/>
    </row>
    <row r="287" spans="1:10" x14ac:dyDescent="0.25">
      <c r="A287" s="445" t="s">
        <v>530</v>
      </c>
      <c r="B287" s="446"/>
      <c r="C287" s="446"/>
      <c r="D287" s="447"/>
      <c r="E287" s="548"/>
      <c r="F287" s="549"/>
      <c r="G287" s="546"/>
      <c r="H287" s="547"/>
      <c r="I287" s="544"/>
      <c r="J287" s="545"/>
    </row>
    <row r="288" spans="1:10" x14ac:dyDescent="0.25">
      <c r="A288" s="441" t="s">
        <v>531</v>
      </c>
      <c r="B288" s="442"/>
      <c r="C288" s="442"/>
      <c r="D288" s="443"/>
      <c r="E288" s="553"/>
      <c r="F288" s="554"/>
      <c r="G288" s="553"/>
      <c r="H288" s="554"/>
      <c r="I288" s="555"/>
      <c r="J288" s="556"/>
    </row>
    <row r="289" spans="1:10" x14ac:dyDescent="0.25">
      <c r="A289" s="445" t="s">
        <v>532</v>
      </c>
      <c r="B289" s="446"/>
      <c r="C289" s="446"/>
      <c r="D289" s="447"/>
      <c r="E289" s="548"/>
      <c r="F289" s="549"/>
      <c r="G289" s="546"/>
      <c r="H289" s="547"/>
      <c r="I289" s="544"/>
      <c r="J289" s="545"/>
    </row>
    <row r="290" spans="1:10" x14ac:dyDescent="0.25">
      <c r="A290" s="441" t="s">
        <v>537</v>
      </c>
      <c r="B290" s="442"/>
      <c r="C290" s="442"/>
      <c r="D290" s="443"/>
      <c r="E290" s="557"/>
      <c r="F290" s="558"/>
      <c r="G290" s="557"/>
      <c r="H290" s="558"/>
      <c r="I290" s="559"/>
      <c r="J290" s="560"/>
    </row>
    <row r="291" spans="1:10" x14ac:dyDescent="0.25">
      <c r="A291" s="429"/>
      <c r="B291" s="430"/>
      <c r="C291" s="430"/>
      <c r="D291" s="431"/>
      <c r="E291" s="548"/>
      <c r="F291" s="549"/>
      <c r="G291" s="546"/>
      <c r="H291" s="547"/>
      <c r="I291" s="546"/>
      <c r="J291" s="547"/>
    </row>
    <row r="292" spans="1:10" x14ac:dyDescent="0.25">
      <c r="A292" s="429"/>
      <c r="B292" s="430"/>
      <c r="C292" s="430"/>
      <c r="D292" s="431"/>
      <c r="E292" s="548"/>
      <c r="F292" s="549"/>
      <c r="G292" s="546"/>
      <c r="H292" s="547"/>
      <c r="I292" s="546"/>
      <c r="J292" s="547"/>
    </row>
    <row r="293" spans="1:10" x14ac:dyDescent="0.25">
      <c r="A293" s="429"/>
      <c r="B293" s="430"/>
      <c r="C293" s="430"/>
      <c r="D293" s="431"/>
      <c r="E293" s="548"/>
      <c r="F293" s="549"/>
      <c r="G293" s="546"/>
      <c r="H293" s="547"/>
      <c r="I293" s="546"/>
      <c r="J293" s="547"/>
    </row>
    <row r="294" spans="1:10" x14ac:dyDescent="0.25">
      <c r="A294" s="434" t="s">
        <v>534</v>
      </c>
      <c r="B294" s="435"/>
      <c r="C294" s="435"/>
      <c r="D294" s="436"/>
      <c r="E294" s="567">
        <f>SUM(E284:E293)</f>
        <v>0</v>
      </c>
      <c r="F294" s="568"/>
      <c r="G294" s="567">
        <f>SUM(G284:G293)</f>
        <v>0</v>
      </c>
      <c r="H294" s="568"/>
      <c r="I294" s="567">
        <f>SUM(I284:I293)</f>
        <v>0</v>
      </c>
      <c r="J294" s="568"/>
    </row>
    <row r="295" spans="1:10" ht="13.2" customHeight="1" x14ac:dyDescent="0.25">
      <c r="A295" s="486" t="s">
        <v>861</v>
      </c>
      <c r="B295" s="561"/>
      <c r="C295" s="561"/>
      <c r="D295" s="561"/>
      <c r="E295" s="561"/>
      <c r="F295" s="561"/>
      <c r="G295" s="561"/>
      <c r="H295" s="561"/>
      <c r="I295" s="561"/>
      <c r="J295" s="562"/>
    </row>
    <row r="296" spans="1:10" ht="13.2" customHeight="1" x14ac:dyDescent="0.25">
      <c r="A296" s="489" t="s">
        <v>862</v>
      </c>
      <c r="B296" s="563"/>
      <c r="C296" s="563"/>
      <c r="D296" s="563"/>
      <c r="E296" s="563"/>
      <c r="F296" s="563"/>
      <c r="G296" s="563"/>
      <c r="H296" s="563"/>
      <c r="I296" s="563"/>
      <c r="J296" s="564"/>
    </row>
    <row r="297" spans="1:10" ht="13.2" customHeight="1" x14ac:dyDescent="0.25">
      <c r="A297" s="489" t="s">
        <v>863</v>
      </c>
      <c r="B297" s="563"/>
      <c r="C297" s="563"/>
      <c r="D297" s="563"/>
      <c r="E297" s="563"/>
      <c r="F297" s="563"/>
      <c r="G297" s="563"/>
      <c r="H297" s="563"/>
      <c r="I297" s="563"/>
      <c r="J297" s="564"/>
    </row>
    <row r="298" spans="1:10" ht="13.2" customHeight="1" x14ac:dyDescent="0.25">
      <c r="A298" s="492" t="s">
        <v>864</v>
      </c>
      <c r="B298" s="565"/>
      <c r="C298" s="565"/>
      <c r="D298" s="565"/>
      <c r="E298" s="565"/>
      <c r="F298" s="565"/>
      <c r="G298" s="565"/>
      <c r="H298" s="565"/>
      <c r="I298" s="565"/>
      <c r="J298" s="566"/>
    </row>
    <row r="299" spans="1:10" ht="13.2" customHeight="1" x14ac:dyDescent="0.25">
      <c r="A299" s="461"/>
      <c r="B299" s="462"/>
      <c r="C299" s="462"/>
      <c r="D299" s="462"/>
      <c r="E299" s="462"/>
      <c r="F299" s="462"/>
      <c r="G299" s="462"/>
      <c r="H299" s="462"/>
      <c r="I299" s="462"/>
      <c r="J299" s="463"/>
    </row>
    <row r="300" spans="1:10" x14ac:dyDescent="0.25">
      <c r="A300" s="464"/>
      <c r="B300" s="465"/>
      <c r="C300" s="465"/>
      <c r="D300" s="465"/>
      <c r="E300" s="465"/>
      <c r="F300" s="465"/>
      <c r="G300" s="465"/>
      <c r="H300" s="465"/>
      <c r="I300" s="465"/>
      <c r="J300" s="466"/>
    </row>
    <row r="301" spans="1:10" x14ac:dyDescent="0.25">
      <c r="A301" s="464"/>
      <c r="B301" s="465"/>
      <c r="C301" s="465"/>
      <c r="D301" s="465"/>
      <c r="E301" s="465"/>
      <c r="F301" s="465"/>
      <c r="G301" s="465"/>
      <c r="H301" s="465"/>
      <c r="I301" s="465"/>
      <c r="J301" s="466"/>
    </row>
    <row r="302" spans="1:10" x14ac:dyDescent="0.25">
      <c r="A302" s="464"/>
      <c r="B302" s="465"/>
      <c r="C302" s="465"/>
      <c r="D302" s="465"/>
      <c r="E302" s="465"/>
      <c r="F302" s="465"/>
      <c r="G302" s="465"/>
      <c r="H302" s="465"/>
      <c r="I302" s="465"/>
      <c r="J302" s="466"/>
    </row>
    <row r="303" spans="1:10" x14ac:dyDescent="0.25">
      <c r="A303" s="464"/>
      <c r="B303" s="465"/>
      <c r="C303" s="465"/>
      <c r="D303" s="465"/>
      <c r="E303" s="465"/>
      <c r="F303" s="465"/>
      <c r="G303" s="465"/>
      <c r="H303" s="465"/>
      <c r="I303" s="465"/>
      <c r="J303" s="466"/>
    </row>
    <row r="304" spans="1:10" x14ac:dyDescent="0.25">
      <c r="A304" s="464"/>
      <c r="B304" s="465"/>
      <c r="C304" s="465"/>
      <c r="D304" s="465"/>
      <c r="E304" s="465"/>
      <c r="F304" s="465"/>
      <c r="G304" s="465"/>
      <c r="H304" s="465"/>
      <c r="I304" s="465"/>
      <c r="J304" s="466"/>
    </row>
    <row r="305" spans="1:10" x14ac:dyDescent="0.25">
      <c r="A305" s="464"/>
      <c r="B305" s="465"/>
      <c r="C305" s="465"/>
      <c r="D305" s="465"/>
      <c r="E305" s="465"/>
      <c r="F305" s="465"/>
      <c r="G305" s="465"/>
      <c r="H305" s="465"/>
      <c r="I305" s="465"/>
      <c r="J305" s="466"/>
    </row>
    <row r="306" spans="1:10" x14ac:dyDescent="0.25">
      <c r="A306" s="464"/>
      <c r="B306" s="465"/>
      <c r="C306" s="465"/>
      <c r="D306" s="465"/>
      <c r="E306" s="465"/>
      <c r="F306" s="465"/>
      <c r="G306" s="465"/>
      <c r="H306" s="465"/>
      <c r="I306" s="465"/>
      <c r="J306" s="466"/>
    </row>
    <row r="307" spans="1:10" x14ac:dyDescent="0.25">
      <c r="A307" s="464"/>
      <c r="B307" s="465"/>
      <c r="C307" s="465"/>
      <c r="D307" s="465"/>
      <c r="E307" s="465"/>
      <c r="F307" s="465"/>
      <c r="G307" s="465"/>
      <c r="H307" s="465"/>
      <c r="I307" s="465"/>
      <c r="J307" s="466"/>
    </row>
    <row r="308" spans="1:10" x14ac:dyDescent="0.25">
      <c r="A308" s="464"/>
      <c r="B308" s="465"/>
      <c r="C308" s="465"/>
      <c r="D308" s="465"/>
      <c r="E308" s="465"/>
      <c r="F308" s="465"/>
      <c r="G308" s="465"/>
      <c r="H308" s="465"/>
      <c r="I308" s="465"/>
      <c r="J308" s="466"/>
    </row>
    <row r="309" spans="1:10" x14ac:dyDescent="0.25">
      <c r="A309" s="464"/>
      <c r="B309" s="465"/>
      <c r="C309" s="465"/>
      <c r="D309" s="465"/>
      <c r="E309" s="465"/>
      <c r="F309" s="465"/>
      <c r="G309" s="465"/>
      <c r="H309" s="465"/>
      <c r="I309" s="465"/>
      <c r="J309" s="466"/>
    </row>
    <row r="310" spans="1:10" x14ac:dyDescent="0.25">
      <c r="A310" s="464"/>
      <c r="B310" s="465"/>
      <c r="C310" s="465"/>
      <c r="D310" s="465"/>
      <c r="E310" s="465"/>
      <c r="F310" s="465"/>
      <c r="G310" s="465"/>
      <c r="H310" s="465"/>
      <c r="I310" s="465"/>
      <c r="J310" s="466"/>
    </row>
    <row r="311" spans="1:10" x14ac:dyDescent="0.25">
      <c r="A311" s="464"/>
      <c r="B311" s="465"/>
      <c r="C311" s="465"/>
      <c r="D311" s="465"/>
      <c r="E311" s="465"/>
      <c r="F311" s="465"/>
      <c r="G311" s="465"/>
      <c r="H311" s="465"/>
      <c r="I311" s="465"/>
      <c r="J311" s="466"/>
    </row>
    <row r="312" spans="1:10" x14ac:dyDescent="0.25">
      <c r="A312" s="464"/>
      <c r="B312" s="465"/>
      <c r="C312" s="465"/>
      <c r="D312" s="465"/>
      <c r="E312" s="465"/>
      <c r="F312" s="465"/>
      <c r="G312" s="465"/>
      <c r="H312" s="465"/>
      <c r="I312" s="465"/>
      <c r="J312" s="466"/>
    </row>
    <row r="313" spans="1:10" x14ac:dyDescent="0.25">
      <c r="A313" s="464"/>
      <c r="B313" s="465"/>
      <c r="C313" s="465"/>
      <c r="D313" s="465"/>
      <c r="E313" s="465"/>
      <c r="F313" s="465"/>
      <c r="G313" s="465"/>
      <c r="H313" s="465"/>
      <c r="I313" s="465"/>
      <c r="J313" s="466"/>
    </row>
    <row r="314" spans="1:10" x14ac:dyDescent="0.25">
      <c r="A314" s="464"/>
      <c r="B314" s="465"/>
      <c r="C314" s="465"/>
      <c r="D314" s="465"/>
      <c r="E314" s="465"/>
      <c r="F314" s="465"/>
      <c r="G314" s="465"/>
      <c r="H314" s="465"/>
      <c r="I314" s="465"/>
      <c r="J314" s="466"/>
    </row>
    <row r="315" spans="1:10" x14ac:dyDescent="0.25">
      <c r="A315" s="464"/>
      <c r="B315" s="465"/>
      <c r="C315" s="465"/>
      <c r="D315" s="465"/>
      <c r="E315" s="465"/>
      <c r="F315" s="465"/>
      <c r="G315" s="465"/>
      <c r="H315" s="465"/>
      <c r="I315" s="465"/>
      <c r="J315" s="466"/>
    </row>
    <row r="316" spans="1:10" x14ac:dyDescent="0.25">
      <c r="A316" s="464"/>
      <c r="B316" s="465"/>
      <c r="C316" s="465"/>
      <c r="D316" s="465"/>
      <c r="E316" s="465"/>
      <c r="F316" s="465"/>
      <c r="G316" s="465"/>
      <c r="H316" s="465"/>
      <c r="I316" s="465"/>
      <c r="J316" s="466"/>
    </row>
    <row r="317" spans="1:10" x14ac:dyDescent="0.25">
      <c r="A317" s="464"/>
      <c r="B317" s="465"/>
      <c r="C317" s="465"/>
      <c r="D317" s="465"/>
      <c r="E317" s="465"/>
      <c r="F317" s="465"/>
      <c r="G317" s="465"/>
      <c r="H317" s="465"/>
      <c r="I317" s="465"/>
      <c r="J317" s="466"/>
    </row>
    <row r="318" spans="1:10" x14ac:dyDescent="0.25">
      <c r="A318" s="464"/>
      <c r="B318" s="465"/>
      <c r="C318" s="465"/>
      <c r="D318" s="465"/>
      <c r="E318" s="465"/>
      <c r="F318" s="465"/>
      <c r="G318" s="465"/>
      <c r="H318" s="465"/>
      <c r="I318" s="465"/>
      <c r="J318" s="466"/>
    </row>
    <row r="319" spans="1:10" x14ac:dyDescent="0.25">
      <c r="A319" s="464"/>
      <c r="B319" s="465"/>
      <c r="C319" s="465"/>
      <c r="D319" s="465"/>
      <c r="E319" s="465"/>
      <c r="F319" s="465"/>
      <c r="G319" s="465"/>
      <c r="H319" s="465"/>
      <c r="I319" s="465"/>
      <c r="J319" s="466"/>
    </row>
    <row r="320" spans="1:10" x14ac:dyDescent="0.25">
      <c r="A320" s="464"/>
      <c r="B320" s="465"/>
      <c r="C320" s="465"/>
      <c r="D320" s="465"/>
      <c r="E320" s="465"/>
      <c r="F320" s="465"/>
      <c r="G320" s="465"/>
      <c r="H320" s="465"/>
      <c r="I320" s="465"/>
      <c r="J320" s="466"/>
    </row>
    <row r="321" spans="1:10" x14ac:dyDescent="0.25">
      <c r="A321" s="464"/>
      <c r="B321" s="465"/>
      <c r="C321" s="465"/>
      <c r="D321" s="465"/>
      <c r="E321" s="465"/>
      <c r="F321" s="465"/>
      <c r="G321" s="465"/>
      <c r="H321" s="465"/>
      <c r="I321" s="465"/>
      <c r="J321" s="466"/>
    </row>
    <row r="322" spans="1:10" x14ac:dyDescent="0.25">
      <c r="A322" s="464"/>
      <c r="B322" s="465"/>
      <c r="C322" s="465"/>
      <c r="D322" s="465"/>
      <c r="E322" s="465"/>
      <c r="F322" s="465"/>
      <c r="G322" s="465"/>
      <c r="H322" s="465"/>
      <c r="I322" s="465"/>
      <c r="J322" s="466"/>
    </row>
    <row r="323" spans="1:10" x14ac:dyDescent="0.25">
      <c r="A323" s="464"/>
      <c r="B323" s="465"/>
      <c r="C323" s="465"/>
      <c r="D323" s="465"/>
      <c r="E323" s="465"/>
      <c r="F323" s="465"/>
      <c r="G323" s="465"/>
      <c r="H323" s="465"/>
      <c r="I323" s="465"/>
      <c r="J323" s="466"/>
    </row>
    <row r="324" spans="1:10" x14ac:dyDescent="0.25">
      <c r="A324" s="464"/>
      <c r="B324" s="465"/>
      <c r="C324" s="465"/>
      <c r="D324" s="465"/>
      <c r="E324" s="465"/>
      <c r="F324" s="465"/>
      <c r="G324" s="465"/>
      <c r="H324" s="465"/>
      <c r="I324" s="465"/>
      <c r="J324" s="466"/>
    </row>
    <row r="325" spans="1:10" x14ac:dyDescent="0.25">
      <c r="A325" s="464"/>
      <c r="B325" s="465"/>
      <c r="C325" s="465"/>
      <c r="D325" s="465"/>
      <c r="E325" s="465"/>
      <c r="F325" s="465"/>
      <c r="G325" s="465"/>
      <c r="H325" s="465"/>
      <c r="I325" s="465"/>
      <c r="J325" s="466"/>
    </row>
    <row r="326" spans="1:10" x14ac:dyDescent="0.25">
      <c r="A326" s="464"/>
      <c r="B326" s="465"/>
      <c r="C326" s="465"/>
      <c r="D326" s="465"/>
      <c r="E326" s="465"/>
      <c r="F326" s="465"/>
      <c r="G326" s="465"/>
      <c r="H326" s="465"/>
      <c r="I326" s="465"/>
      <c r="J326" s="466"/>
    </row>
    <row r="327" spans="1:10" x14ac:dyDescent="0.25">
      <c r="A327" s="464"/>
      <c r="B327" s="465"/>
      <c r="C327" s="465"/>
      <c r="D327" s="465"/>
      <c r="E327" s="465"/>
      <c r="F327" s="465"/>
      <c r="G327" s="465"/>
      <c r="H327" s="465"/>
      <c r="I327" s="465"/>
      <c r="J327" s="466"/>
    </row>
    <row r="328" spans="1:10" x14ac:dyDescent="0.25">
      <c r="A328" s="467"/>
      <c r="B328" s="468"/>
      <c r="C328" s="468"/>
      <c r="D328" s="468"/>
      <c r="E328" s="468"/>
      <c r="F328" s="468"/>
      <c r="G328" s="468"/>
      <c r="H328" s="468"/>
      <c r="I328" s="468"/>
      <c r="J328" s="469"/>
    </row>
    <row r="329" spans="1:10" x14ac:dyDescent="0.25">
      <c r="A329" s="223"/>
      <c r="B329" s="223"/>
      <c r="C329" s="223"/>
      <c r="D329" s="223"/>
      <c r="E329" s="223"/>
      <c r="F329" s="223"/>
      <c r="G329" s="223"/>
      <c r="H329" s="223"/>
      <c r="I329" s="223"/>
      <c r="J329" s="223"/>
    </row>
    <row r="330" spans="1:10" ht="15.6" x14ac:dyDescent="0.3">
      <c r="A330" s="351" t="s">
        <v>848</v>
      </c>
      <c r="B330" s="352"/>
      <c r="C330" s="352"/>
      <c r="D330" s="352"/>
      <c r="E330" s="352"/>
      <c r="F330" s="352"/>
      <c r="G330" s="352"/>
      <c r="H330" s="349" t="str">
        <f>'CONTACT INFORMATION'!$A$24</f>
        <v>Fresno</v>
      </c>
      <c r="I330" s="349"/>
      <c r="J330" s="350"/>
    </row>
    <row r="331" spans="1:10" ht="15.6" x14ac:dyDescent="0.3">
      <c r="A331" s="57"/>
      <c r="B331" s="57"/>
      <c r="C331" s="57"/>
      <c r="D331" s="57"/>
      <c r="E331" s="57"/>
      <c r="F331" s="57"/>
      <c r="G331" s="57"/>
      <c r="H331" s="57"/>
      <c r="I331" s="57"/>
      <c r="J331" s="57"/>
    </row>
    <row r="332" spans="1:10" ht="13.8" x14ac:dyDescent="0.25">
      <c r="A332" s="458" t="s">
        <v>903</v>
      </c>
      <c r="B332" s="459"/>
      <c r="C332" s="459"/>
      <c r="D332" s="459"/>
      <c r="E332" s="459"/>
      <c r="F332" s="459"/>
      <c r="G332" s="459"/>
      <c r="H332" s="459"/>
      <c r="I332" s="459"/>
      <c r="J332" s="460"/>
    </row>
    <row r="333" spans="1:10" ht="13.2" customHeight="1" x14ac:dyDescent="0.25">
      <c r="A333" s="455" t="s">
        <v>854</v>
      </c>
      <c r="B333" s="519"/>
      <c r="C333" s="519"/>
      <c r="D333" s="520"/>
      <c r="E333" s="527"/>
      <c r="F333" s="528"/>
      <c r="G333" s="528"/>
      <c r="H333" s="528"/>
      <c r="I333" s="528"/>
      <c r="J333" s="529"/>
    </row>
    <row r="334" spans="1:10" ht="13.2" customHeight="1" x14ac:dyDescent="0.25">
      <c r="A334" s="495" t="s">
        <v>853</v>
      </c>
      <c r="B334" s="496"/>
      <c r="C334" s="496"/>
      <c r="D334" s="497"/>
      <c r="E334" s="530"/>
      <c r="F334" s="531"/>
      <c r="G334" s="531"/>
      <c r="H334" s="531"/>
      <c r="I334" s="531"/>
      <c r="J334" s="532"/>
    </row>
    <row r="335" spans="1:10" x14ac:dyDescent="0.25">
      <c r="A335" s="521" t="s">
        <v>808</v>
      </c>
      <c r="B335" s="522"/>
      <c r="C335" s="522"/>
      <c r="D335" s="523"/>
      <c r="E335" s="471"/>
      <c r="F335" s="472"/>
      <c r="G335" s="472"/>
      <c r="H335" s="472"/>
      <c r="I335" s="472"/>
      <c r="J335" s="473"/>
    </row>
    <row r="336" spans="1:10" ht="13.2" customHeight="1" x14ac:dyDescent="0.25">
      <c r="A336" s="58"/>
      <c r="B336" s="59"/>
      <c r="C336" s="59"/>
      <c r="D336" s="59"/>
      <c r="E336" s="550" t="s">
        <v>535</v>
      </c>
      <c r="F336" s="550"/>
      <c r="G336" s="550" t="s">
        <v>533</v>
      </c>
      <c r="H336" s="550"/>
      <c r="I336" s="551" t="s">
        <v>849</v>
      </c>
      <c r="J336" s="552"/>
    </row>
    <row r="337" spans="1:10" x14ac:dyDescent="0.25">
      <c r="A337" s="441" t="s">
        <v>527</v>
      </c>
      <c r="B337" s="442"/>
      <c r="C337" s="442"/>
      <c r="D337" s="443"/>
      <c r="E337" s="553"/>
      <c r="F337" s="554"/>
      <c r="G337" s="553"/>
      <c r="H337" s="554"/>
      <c r="I337" s="555"/>
      <c r="J337" s="556"/>
    </row>
    <row r="338" spans="1:10" x14ac:dyDescent="0.25">
      <c r="A338" s="445" t="s">
        <v>528</v>
      </c>
      <c r="B338" s="446"/>
      <c r="C338" s="446"/>
      <c r="D338" s="447"/>
      <c r="E338" s="548"/>
      <c r="F338" s="549"/>
      <c r="G338" s="546"/>
      <c r="H338" s="547"/>
      <c r="I338" s="544"/>
      <c r="J338" s="545"/>
    </row>
    <row r="339" spans="1:10" x14ac:dyDescent="0.25">
      <c r="A339" s="441" t="s">
        <v>529</v>
      </c>
      <c r="B339" s="442"/>
      <c r="C339" s="442"/>
      <c r="D339" s="443"/>
      <c r="E339" s="553"/>
      <c r="F339" s="554"/>
      <c r="G339" s="553"/>
      <c r="H339" s="554"/>
      <c r="I339" s="555"/>
      <c r="J339" s="556"/>
    </row>
    <row r="340" spans="1:10" x14ac:dyDescent="0.25">
      <c r="A340" s="445" t="s">
        <v>530</v>
      </c>
      <c r="B340" s="446"/>
      <c r="C340" s="446"/>
      <c r="D340" s="447"/>
      <c r="E340" s="548"/>
      <c r="F340" s="549"/>
      <c r="G340" s="546"/>
      <c r="H340" s="547"/>
      <c r="I340" s="544"/>
      <c r="J340" s="545"/>
    </row>
    <row r="341" spans="1:10" x14ac:dyDescent="0.25">
      <c r="A341" s="441" t="s">
        <v>531</v>
      </c>
      <c r="B341" s="442"/>
      <c r="C341" s="442"/>
      <c r="D341" s="443"/>
      <c r="E341" s="553"/>
      <c r="F341" s="554"/>
      <c r="G341" s="553"/>
      <c r="H341" s="554"/>
      <c r="I341" s="555"/>
      <c r="J341" s="556"/>
    </row>
    <row r="342" spans="1:10" x14ac:dyDescent="0.25">
      <c r="A342" s="445" t="s">
        <v>532</v>
      </c>
      <c r="B342" s="446"/>
      <c r="C342" s="446"/>
      <c r="D342" s="447"/>
      <c r="E342" s="548"/>
      <c r="F342" s="549"/>
      <c r="G342" s="546"/>
      <c r="H342" s="547"/>
      <c r="I342" s="544"/>
      <c r="J342" s="545"/>
    </row>
    <row r="343" spans="1:10" x14ac:dyDescent="0.25">
      <c r="A343" s="441" t="s">
        <v>537</v>
      </c>
      <c r="B343" s="442"/>
      <c r="C343" s="442"/>
      <c r="D343" s="443"/>
      <c r="E343" s="557"/>
      <c r="F343" s="558"/>
      <c r="G343" s="557"/>
      <c r="H343" s="558"/>
      <c r="I343" s="559"/>
      <c r="J343" s="560"/>
    </row>
    <row r="344" spans="1:10" x14ac:dyDescent="0.25">
      <c r="A344" s="429"/>
      <c r="B344" s="430"/>
      <c r="C344" s="430"/>
      <c r="D344" s="431"/>
      <c r="E344" s="548"/>
      <c r="F344" s="549"/>
      <c r="G344" s="546"/>
      <c r="H344" s="547"/>
      <c r="I344" s="546"/>
      <c r="J344" s="547"/>
    </row>
    <row r="345" spans="1:10" x14ac:dyDescent="0.25">
      <c r="A345" s="429"/>
      <c r="B345" s="430"/>
      <c r="C345" s="430"/>
      <c r="D345" s="431"/>
      <c r="E345" s="548"/>
      <c r="F345" s="549"/>
      <c r="G345" s="546"/>
      <c r="H345" s="547"/>
      <c r="I345" s="546"/>
      <c r="J345" s="547"/>
    </row>
    <row r="346" spans="1:10" x14ac:dyDescent="0.25">
      <c r="A346" s="429"/>
      <c r="B346" s="430"/>
      <c r="C346" s="430"/>
      <c r="D346" s="431"/>
      <c r="E346" s="548"/>
      <c r="F346" s="549"/>
      <c r="G346" s="546"/>
      <c r="H346" s="547"/>
      <c r="I346" s="546"/>
      <c r="J346" s="547"/>
    </row>
    <row r="347" spans="1:10" x14ac:dyDescent="0.25">
      <c r="A347" s="434" t="s">
        <v>534</v>
      </c>
      <c r="B347" s="435"/>
      <c r="C347" s="435"/>
      <c r="D347" s="436"/>
      <c r="E347" s="567">
        <f>SUM(E337:E346)</f>
        <v>0</v>
      </c>
      <c r="F347" s="568"/>
      <c r="G347" s="567">
        <f>SUM(G337:G346)</f>
        <v>0</v>
      </c>
      <c r="H347" s="568"/>
      <c r="I347" s="567">
        <f>SUM(I337:I346)</f>
        <v>0</v>
      </c>
      <c r="J347" s="568"/>
    </row>
    <row r="348" spans="1:10" ht="13.2" customHeight="1" x14ac:dyDescent="0.25">
      <c r="A348" s="486" t="s">
        <v>861</v>
      </c>
      <c r="B348" s="561"/>
      <c r="C348" s="561"/>
      <c r="D348" s="561"/>
      <c r="E348" s="561"/>
      <c r="F348" s="561"/>
      <c r="G348" s="561"/>
      <c r="H348" s="561"/>
      <c r="I348" s="561"/>
      <c r="J348" s="562"/>
    </row>
    <row r="349" spans="1:10" ht="13.2" customHeight="1" x14ac:dyDescent="0.25">
      <c r="A349" s="489" t="s">
        <v>862</v>
      </c>
      <c r="B349" s="563"/>
      <c r="C349" s="563"/>
      <c r="D349" s="563"/>
      <c r="E349" s="563"/>
      <c r="F349" s="563"/>
      <c r="G349" s="563"/>
      <c r="H349" s="563"/>
      <c r="I349" s="563"/>
      <c r="J349" s="564"/>
    </row>
    <row r="350" spans="1:10" ht="13.2" customHeight="1" x14ac:dyDescent="0.25">
      <c r="A350" s="489" t="s">
        <v>863</v>
      </c>
      <c r="B350" s="563"/>
      <c r="C350" s="563"/>
      <c r="D350" s="563"/>
      <c r="E350" s="563"/>
      <c r="F350" s="563"/>
      <c r="G350" s="563"/>
      <c r="H350" s="563"/>
      <c r="I350" s="563"/>
      <c r="J350" s="564"/>
    </row>
    <row r="351" spans="1:10" ht="13.2" customHeight="1" x14ac:dyDescent="0.25">
      <c r="A351" s="492" t="s">
        <v>864</v>
      </c>
      <c r="B351" s="565"/>
      <c r="C351" s="565"/>
      <c r="D351" s="565"/>
      <c r="E351" s="565"/>
      <c r="F351" s="565"/>
      <c r="G351" s="565"/>
      <c r="H351" s="565"/>
      <c r="I351" s="565"/>
      <c r="J351" s="566"/>
    </row>
    <row r="352" spans="1:10" x14ac:dyDescent="0.25">
      <c r="A352" s="461"/>
      <c r="B352" s="462"/>
      <c r="C352" s="462"/>
      <c r="D352" s="462"/>
      <c r="E352" s="462"/>
      <c r="F352" s="462"/>
      <c r="G352" s="462"/>
      <c r="H352" s="462"/>
      <c r="I352" s="462"/>
      <c r="J352" s="463"/>
    </row>
    <row r="353" spans="1:10" x14ac:dyDescent="0.25">
      <c r="A353" s="464"/>
      <c r="B353" s="465"/>
      <c r="C353" s="465"/>
      <c r="D353" s="465"/>
      <c r="E353" s="465"/>
      <c r="F353" s="465"/>
      <c r="G353" s="465"/>
      <c r="H353" s="465"/>
      <c r="I353" s="465"/>
      <c r="J353" s="466"/>
    </row>
    <row r="354" spans="1:10" x14ac:dyDescent="0.25">
      <c r="A354" s="464"/>
      <c r="B354" s="465"/>
      <c r="C354" s="465"/>
      <c r="D354" s="465"/>
      <c r="E354" s="465"/>
      <c r="F354" s="465"/>
      <c r="G354" s="465"/>
      <c r="H354" s="465"/>
      <c r="I354" s="465"/>
      <c r="J354" s="466"/>
    </row>
    <row r="355" spans="1:10" x14ac:dyDescent="0.25">
      <c r="A355" s="464"/>
      <c r="B355" s="465"/>
      <c r="C355" s="465"/>
      <c r="D355" s="465"/>
      <c r="E355" s="465"/>
      <c r="F355" s="465"/>
      <c r="G355" s="465"/>
      <c r="H355" s="465"/>
      <c r="I355" s="465"/>
      <c r="J355" s="466"/>
    </row>
    <row r="356" spans="1:10" x14ac:dyDescent="0.25">
      <c r="A356" s="464"/>
      <c r="B356" s="465"/>
      <c r="C356" s="465"/>
      <c r="D356" s="465"/>
      <c r="E356" s="465"/>
      <c r="F356" s="465"/>
      <c r="G356" s="465"/>
      <c r="H356" s="465"/>
      <c r="I356" s="465"/>
      <c r="J356" s="466"/>
    </row>
    <row r="357" spans="1:10" x14ac:dyDescent="0.25">
      <c r="A357" s="464"/>
      <c r="B357" s="465"/>
      <c r="C357" s="465"/>
      <c r="D357" s="465"/>
      <c r="E357" s="465"/>
      <c r="F357" s="465"/>
      <c r="G357" s="465"/>
      <c r="H357" s="465"/>
      <c r="I357" s="465"/>
      <c r="J357" s="466"/>
    </row>
    <row r="358" spans="1:10" x14ac:dyDescent="0.25">
      <c r="A358" s="464"/>
      <c r="B358" s="465"/>
      <c r="C358" s="465"/>
      <c r="D358" s="465"/>
      <c r="E358" s="465"/>
      <c r="F358" s="465"/>
      <c r="G358" s="465"/>
      <c r="H358" s="465"/>
      <c r="I358" s="465"/>
      <c r="J358" s="466"/>
    </row>
    <row r="359" spans="1:10" x14ac:dyDescent="0.25">
      <c r="A359" s="464"/>
      <c r="B359" s="465"/>
      <c r="C359" s="465"/>
      <c r="D359" s="465"/>
      <c r="E359" s="465"/>
      <c r="F359" s="465"/>
      <c r="G359" s="465"/>
      <c r="H359" s="465"/>
      <c r="I359" s="465"/>
      <c r="J359" s="466"/>
    </row>
    <row r="360" spans="1:10" x14ac:dyDescent="0.25">
      <c r="A360" s="464"/>
      <c r="B360" s="465"/>
      <c r="C360" s="465"/>
      <c r="D360" s="465"/>
      <c r="E360" s="465"/>
      <c r="F360" s="465"/>
      <c r="G360" s="465"/>
      <c r="H360" s="465"/>
      <c r="I360" s="465"/>
      <c r="J360" s="466"/>
    </row>
    <row r="361" spans="1:10" x14ac:dyDescent="0.25">
      <c r="A361" s="464"/>
      <c r="B361" s="465"/>
      <c r="C361" s="465"/>
      <c r="D361" s="465"/>
      <c r="E361" s="465"/>
      <c r="F361" s="465"/>
      <c r="G361" s="465"/>
      <c r="H361" s="465"/>
      <c r="I361" s="465"/>
      <c r="J361" s="466"/>
    </row>
    <row r="362" spans="1:10" x14ac:dyDescent="0.25">
      <c r="A362" s="464"/>
      <c r="B362" s="465"/>
      <c r="C362" s="465"/>
      <c r="D362" s="465"/>
      <c r="E362" s="465"/>
      <c r="F362" s="465"/>
      <c r="G362" s="465"/>
      <c r="H362" s="465"/>
      <c r="I362" s="465"/>
      <c r="J362" s="466"/>
    </row>
    <row r="363" spans="1:10" x14ac:dyDescent="0.25">
      <c r="A363" s="464"/>
      <c r="B363" s="465"/>
      <c r="C363" s="465"/>
      <c r="D363" s="465"/>
      <c r="E363" s="465"/>
      <c r="F363" s="465"/>
      <c r="G363" s="465"/>
      <c r="H363" s="465"/>
      <c r="I363" s="465"/>
      <c r="J363" s="466"/>
    </row>
    <row r="364" spans="1:10" x14ac:dyDescent="0.25">
      <c r="A364" s="464"/>
      <c r="B364" s="465"/>
      <c r="C364" s="465"/>
      <c r="D364" s="465"/>
      <c r="E364" s="465"/>
      <c r="F364" s="465"/>
      <c r="G364" s="465"/>
      <c r="H364" s="465"/>
      <c r="I364" s="465"/>
      <c r="J364" s="466"/>
    </row>
    <row r="365" spans="1:10" x14ac:dyDescent="0.25">
      <c r="A365" s="464"/>
      <c r="B365" s="465"/>
      <c r="C365" s="465"/>
      <c r="D365" s="465"/>
      <c r="E365" s="465"/>
      <c r="F365" s="465"/>
      <c r="G365" s="465"/>
      <c r="H365" s="465"/>
      <c r="I365" s="465"/>
      <c r="J365" s="466"/>
    </row>
    <row r="366" spans="1:10" x14ac:dyDescent="0.25">
      <c r="A366" s="464"/>
      <c r="B366" s="465"/>
      <c r="C366" s="465"/>
      <c r="D366" s="465"/>
      <c r="E366" s="465"/>
      <c r="F366" s="465"/>
      <c r="G366" s="465"/>
      <c r="H366" s="465"/>
      <c r="I366" s="465"/>
      <c r="J366" s="466"/>
    </row>
    <row r="367" spans="1:10" x14ac:dyDescent="0.25">
      <c r="A367" s="464"/>
      <c r="B367" s="465"/>
      <c r="C367" s="465"/>
      <c r="D367" s="465"/>
      <c r="E367" s="465"/>
      <c r="F367" s="465"/>
      <c r="G367" s="465"/>
      <c r="H367" s="465"/>
      <c r="I367" s="465"/>
      <c r="J367" s="466"/>
    </row>
    <row r="368" spans="1:10" x14ac:dyDescent="0.25">
      <c r="A368" s="464"/>
      <c r="B368" s="465"/>
      <c r="C368" s="465"/>
      <c r="D368" s="465"/>
      <c r="E368" s="465"/>
      <c r="F368" s="465"/>
      <c r="G368" s="465"/>
      <c r="H368" s="465"/>
      <c r="I368" s="465"/>
      <c r="J368" s="466"/>
    </row>
    <row r="369" spans="1:10" x14ac:dyDescent="0.25">
      <c r="A369" s="464"/>
      <c r="B369" s="465"/>
      <c r="C369" s="465"/>
      <c r="D369" s="465"/>
      <c r="E369" s="465"/>
      <c r="F369" s="465"/>
      <c r="G369" s="465"/>
      <c r="H369" s="465"/>
      <c r="I369" s="465"/>
      <c r="J369" s="466"/>
    </row>
    <row r="370" spans="1:10" x14ac:dyDescent="0.25">
      <c r="A370" s="464"/>
      <c r="B370" s="465"/>
      <c r="C370" s="465"/>
      <c r="D370" s="465"/>
      <c r="E370" s="465"/>
      <c r="F370" s="465"/>
      <c r="G370" s="465"/>
      <c r="H370" s="465"/>
      <c r="I370" s="465"/>
      <c r="J370" s="466"/>
    </row>
    <row r="371" spans="1:10" x14ac:dyDescent="0.25">
      <c r="A371" s="464"/>
      <c r="B371" s="465"/>
      <c r="C371" s="465"/>
      <c r="D371" s="465"/>
      <c r="E371" s="465"/>
      <c r="F371" s="465"/>
      <c r="G371" s="465"/>
      <c r="H371" s="465"/>
      <c r="I371" s="465"/>
      <c r="J371" s="466"/>
    </row>
    <row r="372" spans="1:10" x14ac:dyDescent="0.25">
      <c r="A372" s="464"/>
      <c r="B372" s="465"/>
      <c r="C372" s="465"/>
      <c r="D372" s="465"/>
      <c r="E372" s="465"/>
      <c r="F372" s="465"/>
      <c r="G372" s="465"/>
      <c r="H372" s="465"/>
      <c r="I372" s="465"/>
      <c r="J372" s="466"/>
    </row>
    <row r="373" spans="1:10" x14ac:dyDescent="0.25">
      <c r="A373" s="464"/>
      <c r="B373" s="465"/>
      <c r="C373" s="465"/>
      <c r="D373" s="465"/>
      <c r="E373" s="465"/>
      <c r="F373" s="465"/>
      <c r="G373" s="465"/>
      <c r="H373" s="465"/>
      <c r="I373" s="465"/>
      <c r="J373" s="466"/>
    </row>
    <row r="374" spans="1:10" x14ac:dyDescent="0.25">
      <c r="A374" s="464"/>
      <c r="B374" s="465"/>
      <c r="C374" s="465"/>
      <c r="D374" s="465"/>
      <c r="E374" s="465"/>
      <c r="F374" s="465"/>
      <c r="G374" s="465"/>
      <c r="H374" s="465"/>
      <c r="I374" s="465"/>
      <c r="J374" s="466"/>
    </row>
    <row r="375" spans="1:10" x14ac:dyDescent="0.25">
      <c r="A375" s="464"/>
      <c r="B375" s="465"/>
      <c r="C375" s="465"/>
      <c r="D375" s="465"/>
      <c r="E375" s="465"/>
      <c r="F375" s="465"/>
      <c r="G375" s="465"/>
      <c r="H375" s="465"/>
      <c r="I375" s="465"/>
      <c r="J375" s="466"/>
    </row>
    <row r="376" spans="1:10" x14ac:dyDescent="0.25">
      <c r="A376" s="464"/>
      <c r="B376" s="465"/>
      <c r="C376" s="465"/>
      <c r="D376" s="465"/>
      <c r="E376" s="465"/>
      <c r="F376" s="465"/>
      <c r="G376" s="465"/>
      <c r="H376" s="465"/>
      <c r="I376" s="465"/>
      <c r="J376" s="466"/>
    </row>
    <row r="377" spans="1:10" x14ac:dyDescent="0.25">
      <c r="A377" s="464"/>
      <c r="B377" s="465"/>
      <c r="C377" s="465"/>
      <c r="D377" s="465"/>
      <c r="E377" s="465"/>
      <c r="F377" s="465"/>
      <c r="G377" s="465"/>
      <c r="H377" s="465"/>
      <c r="I377" s="465"/>
      <c r="J377" s="466"/>
    </row>
    <row r="378" spans="1:10" x14ac:dyDescent="0.25">
      <c r="A378" s="464"/>
      <c r="B378" s="465"/>
      <c r="C378" s="465"/>
      <c r="D378" s="465"/>
      <c r="E378" s="465"/>
      <c r="F378" s="465"/>
      <c r="G378" s="465"/>
      <c r="H378" s="465"/>
      <c r="I378" s="465"/>
      <c r="J378" s="466"/>
    </row>
    <row r="379" spans="1:10" x14ac:dyDescent="0.25">
      <c r="A379" s="464"/>
      <c r="B379" s="465"/>
      <c r="C379" s="465"/>
      <c r="D379" s="465"/>
      <c r="E379" s="465"/>
      <c r="F379" s="465"/>
      <c r="G379" s="465"/>
      <c r="H379" s="465"/>
      <c r="I379" s="465"/>
      <c r="J379" s="466"/>
    </row>
    <row r="380" spans="1:10" x14ac:dyDescent="0.25">
      <c r="A380" s="464"/>
      <c r="B380" s="465"/>
      <c r="C380" s="465"/>
      <c r="D380" s="465"/>
      <c r="E380" s="465"/>
      <c r="F380" s="465"/>
      <c r="G380" s="465"/>
      <c r="H380" s="465"/>
      <c r="I380" s="465"/>
      <c r="J380" s="466"/>
    </row>
    <row r="381" spans="1:10" x14ac:dyDescent="0.25">
      <c r="A381" s="464"/>
      <c r="B381" s="465"/>
      <c r="C381" s="465"/>
      <c r="D381" s="465"/>
      <c r="E381" s="465"/>
      <c r="F381" s="465"/>
      <c r="G381" s="465"/>
      <c r="H381" s="465"/>
      <c r="I381" s="465"/>
      <c r="J381" s="466"/>
    </row>
    <row r="382" spans="1:10" x14ac:dyDescent="0.25">
      <c r="A382" s="467"/>
      <c r="B382" s="468"/>
      <c r="C382" s="468"/>
      <c r="D382" s="468"/>
      <c r="E382" s="468"/>
      <c r="F382" s="468"/>
      <c r="G382" s="468"/>
      <c r="H382" s="468"/>
      <c r="I382" s="468"/>
      <c r="J382" s="469"/>
    </row>
    <row r="383" spans="1:10" x14ac:dyDescent="0.25">
      <c r="A383" s="46"/>
      <c r="B383" s="46"/>
      <c r="C383" s="46"/>
      <c r="D383" s="46"/>
      <c r="E383" s="46"/>
      <c r="F383" s="46"/>
      <c r="G383" s="46"/>
      <c r="H383" s="46"/>
      <c r="I383" s="46"/>
      <c r="J383" s="46"/>
    </row>
    <row r="384" spans="1:10" ht="15.6" x14ac:dyDescent="0.3">
      <c r="A384" s="351" t="s">
        <v>848</v>
      </c>
      <c r="B384" s="352"/>
      <c r="C384" s="352"/>
      <c r="D384" s="352"/>
      <c r="E384" s="352"/>
      <c r="F384" s="352"/>
      <c r="G384" s="352"/>
      <c r="H384" s="349" t="str">
        <f>'CONTACT INFORMATION'!$A$24</f>
        <v>Fresno</v>
      </c>
      <c r="I384" s="349"/>
      <c r="J384" s="350"/>
    </row>
    <row r="385" spans="1:10" ht="15.6" x14ac:dyDescent="0.3">
      <c r="A385" s="57"/>
      <c r="B385" s="57"/>
      <c r="C385" s="57"/>
      <c r="D385" s="57"/>
      <c r="E385" s="57"/>
      <c r="F385" s="57"/>
      <c r="G385" s="57"/>
      <c r="H385" s="57"/>
      <c r="I385" s="57"/>
      <c r="J385" s="57"/>
    </row>
    <row r="386" spans="1:10" ht="13.8" x14ac:dyDescent="0.25">
      <c r="A386" s="458" t="s">
        <v>904</v>
      </c>
      <c r="B386" s="459"/>
      <c r="C386" s="459"/>
      <c r="D386" s="459"/>
      <c r="E386" s="459"/>
      <c r="F386" s="459"/>
      <c r="G386" s="459"/>
      <c r="H386" s="459"/>
      <c r="I386" s="459"/>
      <c r="J386" s="460"/>
    </row>
    <row r="387" spans="1:10" ht="13.2" customHeight="1" x14ac:dyDescent="0.25">
      <c r="A387" s="455" t="s">
        <v>854</v>
      </c>
      <c r="B387" s="519"/>
      <c r="C387" s="519"/>
      <c r="D387" s="520"/>
      <c r="E387" s="527"/>
      <c r="F387" s="528"/>
      <c r="G387" s="528"/>
      <c r="H387" s="528"/>
      <c r="I387" s="528"/>
      <c r="J387" s="529"/>
    </row>
    <row r="388" spans="1:10" ht="13.2" customHeight="1" x14ac:dyDescent="0.25">
      <c r="A388" s="495" t="s">
        <v>853</v>
      </c>
      <c r="B388" s="496"/>
      <c r="C388" s="496"/>
      <c r="D388" s="497"/>
      <c r="E388" s="530"/>
      <c r="F388" s="531"/>
      <c r="G388" s="531"/>
      <c r="H388" s="531"/>
      <c r="I388" s="531"/>
      <c r="J388" s="532"/>
    </row>
    <row r="389" spans="1:10" x14ac:dyDescent="0.25">
      <c r="A389" s="521" t="s">
        <v>808</v>
      </c>
      <c r="B389" s="522"/>
      <c r="C389" s="522"/>
      <c r="D389" s="523"/>
      <c r="E389" s="471"/>
      <c r="F389" s="472"/>
      <c r="G389" s="472"/>
      <c r="H389" s="472"/>
      <c r="I389" s="472"/>
      <c r="J389" s="473"/>
    </row>
    <row r="390" spans="1:10" ht="13.2" customHeight="1" x14ac:dyDescent="0.25">
      <c r="A390" s="58"/>
      <c r="B390" s="59"/>
      <c r="C390" s="59"/>
      <c r="D390" s="59"/>
      <c r="E390" s="550" t="s">
        <v>535</v>
      </c>
      <c r="F390" s="550"/>
      <c r="G390" s="550" t="s">
        <v>533</v>
      </c>
      <c r="H390" s="550"/>
      <c r="I390" s="551" t="s">
        <v>849</v>
      </c>
      <c r="J390" s="552"/>
    </row>
    <row r="391" spans="1:10" x14ac:dyDescent="0.25">
      <c r="A391" s="441" t="s">
        <v>527</v>
      </c>
      <c r="B391" s="442"/>
      <c r="C391" s="442"/>
      <c r="D391" s="443"/>
      <c r="E391" s="553"/>
      <c r="F391" s="554"/>
      <c r="G391" s="553"/>
      <c r="H391" s="554"/>
      <c r="I391" s="555"/>
      <c r="J391" s="556"/>
    </row>
    <row r="392" spans="1:10" x14ac:dyDescent="0.25">
      <c r="A392" s="445" t="s">
        <v>528</v>
      </c>
      <c r="B392" s="446"/>
      <c r="C392" s="446"/>
      <c r="D392" s="447"/>
      <c r="E392" s="548"/>
      <c r="F392" s="549"/>
      <c r="G392" s="546"/>
      <c r="H392" s="547"/>
      <c r="I392" s="544"/>
      <c r="J392" s="545"/>
    </row>
    <row r="393" spans="1:10" x14ac:dyDescent="0.25">
      <c r="A393" s="441" t="s">
        <v>529</v>
      </c>
      <c r="B393" s="442"/>
      <c r="C393" s="442"/>
      <c r="D393" s="443"/>
      <c r="E393" s="553"/>
      <c r="F393" s="554"/>
      <c r="G393" s="553"/>
      <c r="H393" s="554"/>
      <c r="I393" s="555"/>
      <c r="J393" s="556"/>
    </row>
    <row r="394" spans="1:10" x14ac:dyDescent="0.25">
      <c r="A394" s="445" t="s">
        <v>530</v>
      </c>
      <c r="B394" s="446"/>
      <c r="C394" s="446"/>
      <c r="D394" s="447"/>
      <c r="E394" s="548"/>
      <c r="F394" s="549"/>
      <c r="G394" s="546"/>
      <c r="H394" s="547"/>
      <c r="I394" s="544"/>
      <c r="J394" s="545"/>
    </row>
    <row r="395" spans="1:10" x14ac:dyDescent="0.25">
      <c r="A395" s="441" t="s">
        <v>531</v>
      </c>
      <c r="B395" s="442"/>
      <c r="C395" s="442"/>
      <c r="D395" s="443"/>
      <c r="E395" s="553"/>
      <c r="F395" s="554"/>
      <c r="G395" s="553"/>
      <c r="H395" s="554"/>
      <c r="I395" s="555"/>
      <c r="J395" s="556"/>
    </row>
    <row r="396" spans="1:10" x14ac:dyDescent="0.25">
      <c r="A396" s="445" t="s">
        <v>532</v>
      </c>
      <c r="B396" s="446"/>
      <c r="C396" s="446"/>
      <c r="D396" s="447"/>
      <c r="E396" s="548"/>
      <c r="F396" s="549"/>
      <c r="G396" s="546"/>
      <c r="H396" s="547"/>
      <c r="I396" s="544"/>
      <c r="J396" s="545"/>
    </row>
    <row r="397" spans="1:10" x14ac:dyDescent="0.25">
      <c r="A397" s="441" t="s">
        <v>537</v>
      </c>
      <c r="B397" s="442"/>
      <c r="C397" s="442"/>
      <c r="D397" s="443"/>
      <c r="E397" s="557"/>
      <c r="F397" s="558"/>
      <c r="G397" s="557"/>
      <c r="H397" s="558"/>
      <c r="I397" s="559"/>
      <c r="J397" s="560"/>
    </row>
    <row r="398" spans="1:10" x14ac:dyDescent="0.25">
      <c r="A398" s="429"/>
      <c r="B398" s="430"/>
      <c r="C398" s="430"/>
      <c r="D398" s="431"/>
      <c r="E398" s="548"/>
      <c r="F398" s="549"/>
      <c r="G398" s="546"/>
      <c r="H398" s="547"/>
      <c r="I398" s="546"/>
      <c r="J398" s="547"/>
    </row>
    <row r="399" spans="1:10" x14ac:dyDescent="0.25">
      <c r="A399" s="429"/>
      <c r="B399" s="430"/>
      <c r="C399" s="430"/>
      <c r="D399" s="431"/>
      <c r="E399" s="548"/>
      <c r="F399" s="549"/>
      <c r="G399" s="546"/>
      <c r="H399" s="547"/>
      <c r="I399" s="546"/>
      <c r="J399" s="547"/>
    </row>
    <row r="400" spans="1:10" x14ac:dyDescent="0.25">
      <c r="A400" s="429"/>
      <c r="B400" s="430"/>
      <c r="C400" s="430"/>
      <c r="D400" s="431"/>
      <c r="E400" s="548"/>
      <c r="F400" s="549"/>
      <c r="G400" s="546"/>
      <c r="H400" s="547"/>
      <c r="I400" s="546"/>
      <c r="J400" s="547"/>
    </row>
    <row r="401" spans="1:10" x14ac:dyDescent="0.25">
      <c r="A401" s="434" t="s">
        <v>534</v>
      </c>
      <c r="B401" s="435"/>
      <c r="C401" s="435"/>
      <c r="D401" s="436"/>
      <c r="E401" s="567">
        <f>SUM(E391:E400)</f>
        <v>0</v>
      </c>
      <c r="F401" s="568"/>
      <c r="G401" s="567">
        <f>SUM(G391:G400)</f>
        <v>0</v>
      </c>
      <c r="H401" s="568"/>
      <c r="I401" s="567">
        <f>SUM(I391:I400)</f>
        <v>0</v>
      </c>
      <c r="J401" s="568"/>
    </row>
    <row r="402" spans="1:10" ht="13.2" customHeight="1" x14ac:dyDescent="0.25">
      <c r="A402" s="486" t="s">
        <v>861</v>
      </c>
      <c r="B402" s="561"/>
      <c r="C402" s="561"/>
      <c r="D402" s="561"/>
      <c r="E402" s="561"/>
      <c r="F402" s="561"/>
      <c r="G402" s="561"/>
      <c r="H402" s="561"/>
      <c r="I402" s="561"/>
      <c r="J402" s="562"/>
    </row>
    <row r="403" spans="1:10" ht="13.2" customHeight="1" x14ac:dyDescent="0.25">
      <c r="A403" s="489" t="s">
        <v>862</v>
      </c>
      <c r="B403" s="563"/>
      <c r="C403" s="563"/>
      <c r="D403" s="563"/>
      <c r="E403" s="563"/>
      <c r="F403" s="563"/>
      <c r="G403" s="563"/>
      <c r="H403" s="563"/>
      <c r="I403" s="563"/>
      <c r="J403" s="564"/>
    </row>
    <row r="404" spans="1:10" ht="13.2" customHeight="1" x14ac:dyDescent="0.25">
      <c r="A404" s="489" t="s">
        <v>863</v>
      </c>
      <c r="B404" s="563"/>
      <c r="C404" s="563"/>
      <c r="D404" s="563"/>
      <c r="E404" s="563"/>
      <c r="F404" s="563"/>
      <c r="G404" s="563"/>
      <c r="H404" s="563"/>
      <c r="I404" s="563"/>
      <c r="J404" s="564"/>
    </row>
    <row r="405" spans="1:10" ht="13.2" customHeight="1" x14ac:dyDescent="0.25">
      <c r="A405" s="492" t="s">
        <v>864</v>
      </c>
      <c r="B405" s="565"/>
      <c r="C405" s="565"/>
      <c r="D405" s="565"/>
      <c r="E405" s="565"/>
      <c r="F405" s="565"/>
      <c r="G405" s="565"/>
      <c r="H405" s="565"/>
      <c r="I405" s="565"/>
      <c r="J405" s="566"/>
    </row>
    <row r="406" spans="1:10" x14ac:dyDescent="0.25">
      <c r="A406" s="461"/>
      <c r="B406" s="462"/>
      <c r="C406" s="462"/>
      <c r="D406" s="462"/>
      <c r="E406" s="462"/>
      <c r="F406" s="462"/>
      <c r="G406" s="462"/>
      <c r="H406" s="462"/>
      <c r="I406" s="462"/>
      <c r="J406" s="463"/>
    </row>
    <row r="407" spans="1:10" x14ac:dyDescent="0.25">
      <c r="A407" s="464"/>
      <c r="B407" s="465"/>
      <c r="C407" s="465"/>
      <c r="D407" s="465"/>
      <c r="E407" s="465"/>
      <c r="F407" s="465"/>
      <c r="G407" s="465"/>
      <c r="H407" s="465"/>
      <c r="I407" s="465"/>
      <c r="J407" s="466"/>
    </row>
    <row r="408" spans="1:10" x14ac:dyDescent="0.25">
      <c r="A408" s="464"/>
      <c r="B408" s="465"/>
      <c r="C408" s="465"/>
      <c r="D408" s="465"/>
      <c r="E408" s="465"/>
      <c r="F408" s="465"/>
      <c r="G408" s="465"/>
      <c r="H408" s="465"/>
      <c r="I408" s="465"/>
      <c r="J408" s="466"/>
    </row>
    <row r="409" spans="1:10" x14ac:dyDescent="0.25">
      <c r="A409" s="464"/>
      <c r="B409" s="465"/>
      <c r="C409" s="465"/>
      <c r="D409" s="465"/>
      <c r="E409" s="465"/>
      <c r="F409" s="465"/>
      <c r="G409" s="465"/>
      <c r="H409" s="465"/>
      <c r="I409" s="465"/>
      <c r="J409" s="466"/>
    </row>
    <row r="410" spans="1:10" x14ac:dyDescent="0.25">
      <c r="A410" s="464"/>
      <c r="B410" s="465"/>
      <c r="C410" s="465"/>
      <c r="D410" s="465"/>
      <c r="E410" s="465"/>
      <c r="F410" s="465"/>
      <c r="G410" s="465"/>
      <c r="H410" s="465"/>
      <c r="I410" s="465"/>
      <c r="J410" s="466"/>
    </row>
    <row r="411" spans="1:10" x14ac:dyDescent="0.25">
      <c r="A411" s="464"/>
      <c r="B411" s="465"/>
      <c r="C411" s="465"/>
      <c r="D411" s="465"/>
      <c r="E411" s="465"/>
      <c r="F411" s="465"/>
      <c r="G411" s="465"/>
      <c r="H411" s="465"/>
      <c r="I411" s="465"/>
      <c r="J411" s="466"/>
    </row>
    <row r="412" spans="1:10" x14ac:dyDescent="0.25">
      <c r="A412" s="464"/>
      <c r="B412" s="465"/>
      <c r="C412" s="465"/>
      <c r="D412" s="465"/>
      <c r="E412" s="465"/>
      <c r="F412" s="465"/>
      <c r="G412" s="465"/>
      <c r="H412" s="465"/>
      <c r="I412" s="465"/>
      <c r="J412" s="466"/>
    </row>
    <row r="413" spans="1:10" x14ac:dyDescent="0.25">
      <c r="A413" s="464"/>
      <c r="B413" s="465"/>
      <c r="C413" s="465"/>
      <c r="D413" s="465"/>
      <c r="E413" s="465"/>
      <c r="F413" s="465"/>
      <c r="G413" s="465"/>
      <c r="H413" s="465"/>
      <c r="I413" s="465"/>
      <c r="J413" s="466"/>
    </row>
    <row r="414" spans="1:10" x14ac:dyDescent="0.25">
      <c r="A414" s="464"/>
      <c r="B414" s="465"/>
      <c r="C414" s="465"/>
      <c r="D414" s="465"/>
      <c r="E414" s="465"/>
      <c r="F414" s="465"/>
      <c r="G414" s="465"/>
      <c r="H414" s="465"/>
      <c r="I414" s="465"/>
      <c r="J414" s="466"/>
    </row>
    <row r="415" spans="1:10" x14ac:dyDescent="0.25">
      <c r="A415" s="464"/>
      <c r="B415" s="465"/>
      <c r="C415" s="465"/>
      <c r="D415" s="465"/>
      <c r="E415" s="465"/>
      <c r="F415" s="465"/>
      <c r="G415" s="465"/>
      <c r="H415" s="465"/>
      <c r="I415" s="465"/>
      <c r="J415" s="466"/>
    </row>
    <row r="416" spans="1:10" x14ac:dyDescent="0.25">
      <c r="A416" s="464"/>
      <c r="B416" s="465"/>
      <c r="C416" s="465"/>
      <c r="D416" s="465"/>
      <c r="E416" s="465"/>
      <c r="F416" s="465"/>
      <c r="G416" s="465"/>
      <c r="H416" s="465"/>
      <c r="I416" s="465"/>
      <c r="J416" s="466"/>
    </row>
    <row r="417" spans="1:10" x14ac:dyDescent="0.25">
      <c r="A417" s="464"/>
      <c r="B417" s="465"/>
      <c r="C417" s="465"/>
      <c r="D417" s="465"/>
      <c r="E417" s="465"/>
      <c r="F417" s="465"/>
      <c r="G417" s="465"/>
      <c r="H417" s="465"/>
      <c r="I417" s="465"/>
      <c r="J417" s="466"/>
    </row>
    <row r="418" spans="1:10" x14ac:dyDescent="0.25">
      <c r="A418" s="464"/>
      <c r="B418" s="465"/>
      <c r="C418" s="465"/>
      <c r="D418" s="465"/>
      <c r="E418" s="465"/>
      <c r="F418" s="465"/>
      <c r="G418" s="465"/>
      <c r="H418" s="465"/>
      <c r="I418" s="465"/>
      <c r="J418" s="466"/>
    </row>
    <row r="419" spans="1:10" x14ac:dyDescent="0.25">
      <c r="A419" s="464"/>
      <c r="B419" s="465"/>
      <c r="C419" s="465"/>
      <c r="D419" s="465"/>
      <c r="E419" s="465"/>
      <c r="F419" s="465"/>
      <c r="G419" s="465"/>
      <c r="H419" s="465"/>
      <c r="I419" s="465"/>
      <c r="J419" s="466"/>
    </row>
    <row r="420" spans="1:10" x14ac:dyDescent="0.25">
      <c r="A420" s="464"/>
      <c r="B420" s="465"/>
      <c r="C420" s="465"/>
      <c r="D420" s="465"/>
      <c r="E420" s="465"/>
      <c r="F420" s="465"/>
      <c r="G420" s="465"/>
      <c r="H420" s="465"/>
      <c r="I420" s="465"/>
      <c r="J420" s="466"/>
    </row>
    <row r="421" spans="1:10" x14ac:dyDescent="0.25">
      <c r="A421" s="464"/>
      <c r="B421" s="465"/>
      <c r="C421" s="465"/>
      <c r="D421" s="465"/>
      <c r="E421" s="465"/>
      <c r="F421" s="465"/>
      <c r="G421" s="465"/>
      <c r="H421" s="465"/>
      <c r="I421" s="465"/>
      <c r="J421" s="466"/>
    </row>
    <row r="422" spans="1:10" x14ac:dyDescent="0.25">
      <c r="A422" s="464"/>
      <c r="B422" s="465"/>
      <c r="C422" s="465"/>
      <c r="D422" s="465"/>
      <c r="E422" s="465"/>
      <c r="F422" s="465"/>
      <c r="G422" s="465"/>
      <c r="H422" s="465"/>
      <c r="I422" s="465"/>
      <c r="J422" s="466"/>
    </row>
    <row r="423" spans="1:10" x14ac:dyDescent="0.25">
      <c r="A423" s="464"/>
      <c r="B423" s="465"/>
      <c r="C423" s="465"/>
      <c r="D423" s="465"/>
      <c r="E423" s="465"/>
      <c r="F423" s="465"/>
      <c r="G423" s="465"/>
      <c r="H423" s="465"/>
      <c r="I423" s="465"/>
      <c r="J423" s="466"/>
    </row>
    <row r="424" spans="1:10" x14ac:dyDescent="0.25">
      <c r="A424" s="464"/>
      <c r="B424" s="465"/>
      <c r="C424" s="465"/>
      <c r="D424" s="465"/>
      <c r="E424" s="465"/>
      <c r="F424" s="465"/>
      <c r="G424" s="465"/>
      <c r="H424" s="465"/>
      <c r="I424" s="465"/>
      <c r="J424" s="466"/>
    </row>
    <row r="425" spans="1:10" x14ac:dyDescent="0.25">
      <c r="A425" s="464"/>
      <c r="B425" s="465"/>
      <c r="C425" s="465"/>
      <c r="D425" s="465"/>
      <c r="E425" s="465"/>
      <c r="F425" s="465"/>
      <c r="G425" s="465"/>
      <c r="H425" s="465"/>
      <c r="I425" s="465"/>
      <c r="J425" s="466"/>
    </row>
    <row r="426" spans="1:10" x14ac:dyDescent="0.25">
      <c r="A426" s="464"/>
      <c r="B426" s="465"/>
      <c r="C426" s="465"/>
      <c r="D426" s="465"/>
      <c r="E426" s="465"/>
      <c r="F426" s="465"/>
      <c r="G426" s="465"/>
      <c r="H426" s="465"/>
      <c r="I426" s="465"/>
      <c r="J426" s="466"/>
    </row>
    <row r="427" spans="1:10" x14ac:dyDescent="0.25">
      <c r="A427" s="464"/>
      <c r="B427" s="465"/>
      <c r="C427" s="465"/>
      <c r="D427" s="465"/>
      <c r="E427" s="465"/>
      <c r="F427" s="465"/>
      <c r="G427" s="465"/>
      <c r="H427" s="465"/>
      <c r="I427" s="465"/>
      <c r="J427" s="466"/>
    </row>
    <row r="428" spans="1:10" x14ac:dyDescent="0.25">
      <c r="A428" s="464"/>
      <c r="B428" s="465"/>
      <c r="C428" s="465"/>
      <c r="D428" s="465"/>
      <c r="E428" s="465"/>
      <c r="F428" s="465"/>
      <c r="G428" s="465"/>
      <c r="H428" s="465"/>
      <c r="I428" s="465"/>
      <c r="J428" s="466"/>
    </row>
    <row r="429" spans="1:10" x14ac:dyDescent="0.25">
      <c r="A429" s="464"/>
      <c r="B429" s="465"/>
      <c r="C429" s="465"/>
      <c r="D429" s="465"/>
      <c r="E429" s="465"/>
      <c r="F429" s="465"/>
      <c r="G429" s="465"/>
      <c r="H429" s="465"/>
      <c r="I429" s="465"/>
      <c r="J429" s="466"/>
    </row>
    <row r="430" spans="1:10" x14ac:dyDescent="0.25">
      <c r="A430" s="464"/>
      <c r="B430" s="465"/>
      <c r="C430" s="465"/>
      <c r="D430" s="465"/>
      <c r="E430" s="465"/>
      <c r="F430" s="465"/>
      <c r="G430" s="465"/>
      <c r="H430" s="465"/>
      <c r="I430" s="465"/>
      <c r="J430" s="466"/>
    </row>
    <row r="431" spans="1:10" x14ac:dyDescent="0.25">
      <c r="A431" s="464"/>
      <c r="B431" s="465"/>
      <c r="C431" s="465"/>
      <c r="D431" s="465"/>
      <c r="E431" s="465"/>
      <c r="F431" s="465"/>
      <c r="G431" s="465"/>
      <c r="H431" s="465"/>
      <c r="I431" s="465"/>
      <c r="J431" s="466"/>
    </row>
    <row r="432" spans="1:10" x14ac:dyDescent="0.25">
      <c r="A432" s="464"/>
      <c r="B432" s="465"/>
      <c r="C432" s="465"/>
      <c r="D432" s="465"/>
      <c r="E432" s="465"/>
      <c r="F432" s="465"/>
      <c r="G432" s="465"/>
      <c r="H432" s="465"/>
      <c r="I432" s="465"/>
      <c r="J432" s="466"/>
    </row>
    <row r="433" spans="1:10" x14ac:dyDescent="0.25">
      <c r="A433" s="464"/>
      <c r="B433" s="465"/>
      <c r="C433" s="465"/>
      <c r="D433" s="465"/>
      <c r="E433" s="465"/>
      <c r="F433" s="465"/>
      <c r="G433" s="465"/>
      <c r="H433" s="465"/>
      <c r="I433" s="465"/>
      <c r="J433" s="466"/>
    </row>
    <row r="434" spans="1:10" x14ac:dyDescent="0.25">
      <c r="A434" s="464"/>
      <c r="B434" s="465"/>
      <c r="C434" s="465"/>
      <c r="D434" s="465"/>
      <c r="E434" s="465"/>
      <c r="F434" s="465"/>
      <c r="G434" s="465"/>
      <c r="H434" s="465"/>
      <c r="I434" s="465"/>
      <c r="J434" s="466"/>
    </row>
    <row r="435" spans="1:10" x14ac:dyDescent="0.25">
      <c r="A435" s="464"/>
      <c r="B435" s="465"/>
      <c r="C435" s="465"/>
      <c r="D435" s="465"/>
      <c r="E435" s="465"/>
      <c r="F435" s="465"/>
      <c r="G435" s="465"/>
      <c r="H435" s="465"/>
      <c r="I435" s="465"/>
      <c r="J435" s="466"/>
    </row>
    <row r="436" spans="1:10" x14ac:dyDescent="0.25">
      <c r="A436" s="467"/>
      <c r="B436" s="468"/>
      <c r="C436" s="468"/>
      <c r="D436" s="468"/>
      <c r="E436" s="468"/>
      <c r="F436" s="468"/>
      <c r="G436" s="468"/>
      <c r="H436" s="468"/>
      <c r="I436" s="468"/>
      <c r="J436" s="469"/>
    </row>
    <row r="437" spans="1:10" x14ac:dyDescent="0.25">
      <c r="A437" s="187"/>
      <c r="B437" s="187"/>
      <c r="C437" s="187"/>
      <c r="D437" s="187"/>
      <c r="E437" s="187"/>
      <c r="F437" s="187"/>
      <c r="G437" s="187"/>
      <c r="H437" s="187"/>
      <c r="I437" s="187"/>
      <c r="J437" s="187"/>
    </row>
    <row r="438" spans="1:10" ht="15.6" x14ac:dyDescent="0.3">
      <c r="A438" s="351" t="s">
        <v>848</v>
      </c>
      <c r="B438" s="352"/>
      <c r="C438" s="352"/>
      <c r="D438" s="352"/>
      <c r="E438" s="352"/>
      <c r="F438" s="352"/>
      <c r="G438" s="352"/>
      <c r="H438" s="349" t="str">
        <f>'CONTACT INFORMATION'!$A$24</f>
        <v>Fresno</v>
      </c>
      <c r="I438" s="349"/>
      <c r="J438" s="350"/>
    </row>
    <row r="439" spans="1:10" ht="15.6" x14ac:dyDescent="0.3">
      <c r="A439" s="57"/>
      <c r="B439" s="57"/>
      <c r="C439" s="57"/>
      <c r="D439" s="57"/>
      <c r="E439" s="57"/>
      <c r="F439" s="57"/>
      <c r="G439" s="57"/>
      <c r="H439" s="57"/>
      <c r="I439" s="57"/>
      <c r="J439" s="57"/>
    </row>
    <row r="440" spans="1:10" ht="13.8" x14ac:dyDescent="0.25">
      <c r="A440" s="458" t="s">
        <v>905</v>
      </c>
      <c r="B440" s="459"/>
      <c r="C440" s="459"/>
      <c r="D440" s="459"/>
      <c r="E440" s="459"/>
      <c r="F440" s="459"/>
      <c r="G440" s="459"/>
      <c r="H440" s="459"/>
      <c r="I440" s="459"/>
      <c r="J440" s="460"/>
    </row>
    <row r="441" spans="1:10" ht="13.2" customHeight="1" x14ac:dyDescent="0.25">
      <c r="A441" s="455" t="s">
        <v>854</v>
      </c>
      <c r="B441" s="519"/>
      <c r="C441" s="519"/>
      <c r="D441" s="520"/>
      <c r="E441" s="527"/>
      <c r="F441" s="528"/>
      <c r="G441" s="528"/>
      <c r="H441" s="528"/>
      <c r="I441" s="528"/>
      <c r="J441" s="529"/>
    </row>
    <row r="442" spans="1:10" ht="13.2" customHeight="1" x14ac:dyDescent="0.25">
      <c r="A442" s="495" t="s">
        <v>853</v>
      </c>
      <c r="B442" s="496"/>
      <c r="C442" s="496"/>
      <c r="D442" s="497"/>
      <c r="E442" s="530"/>
      <c r="F442" s="531"/>
      <c r="G442" s="531"/>
      <c r="H442" s="531"/>
      <c r="I442" s="531"/>
      <c r="J442" s="532"/>
    </row>
    <row r="443" spans="1:10" x14ac:dyDescent="0.25">
      <c r="A443" s="521" t="s">
        <v>808</v>
      </c>
      <c r="B443" s="522"/>
      <c r="C443" s="522"/>
      <c r="D443" s="523"/>
      <c r="E443" s="471"/>
      <c r="F443" s="472"/>
      <c r="G443" s="472"/>
      <c r="H443" s="472"/>
      <c r="I443" s="472"/>
      <c r="J443" s="473"/>
    </row>
    <row r="444" spans="1:10" ht="13.2" customHeight="1" x14ac:dyDescent="0.25">
      <c r="A444" s="58"/>
      <c r="B444" s="59"/>
      <c r="C444" s="59"/>
      <c r="D444" s="59"/>
      <c r="E444" s="550" t="s">
        <v>535</v>
      </c>
      <c r="F444" s="550"/>
      <c r="G444" s="550" t="s">
        <v>533</v>
      </c>
      <c r="H444" s="550"/>
      <c r="I444" s="551" t="s">
        <v>849</v>
      </c>
      <c r="J444" s="552"/>
    </row>
    <row r="445" spans="1:10" x14ac:dyDescent="0.25">
      <c r="A445" s="441" t="s">
        <v>527</v>
      </c>
      <c r="B445" s="442"/>
      <c r="C445" s="442"/>
      <c r="D445" s="443"/>
      <c r="E445" s="553"/>
      <c r="F445" s="554"/>
      <c r="G445" s="553"/>
      <c r="H445" s="554"/>
      <c r="I445" s="555"/>
      <c r="J445" s="556"/>
    </row>
    <row r="446" spans="1:10" x14ac:dyDescent="0.25">
      <c r="A446" s="445" t="s">
        <v>528</v>
      </c>
      <c r="B446" s="446"/>
      <c r="C446" s="446"/>
      <c r="D446" s="447"/>
      <c r="E446" s="548"/>
      <c r="F446" s="549"/>
      <c r="G446" s="546"/>
      <c r="H446" s="547"/>
      <c r="I446" s="544"/>
      <c r="J446" s="545"/>
    </row>
    <row r="447" spans="1:10" x14ac:dyDescent="0.25">
      <c r="A447" s="441" t="s">
        <v>529</v>
      </c>
      <c r="B447" s="442"/>
      <c r="C447" s="442"/>
      <c r="D447" s="443"/>
      <c r="E447" s="553"/>
      <c r="F447" s="554"/>
      <c r="G447" s="553"/>
      <c r="H447" s="554"/>
      <c r="I447" s="555"/>
      <c r="J447" s="556"/>
    </row>
    <row r="448" spans="1:10" x14ac:dyDescent="0.25">
      <c r="A448" s="445" t="s">
        <v>530</v>
      </c>
      <c r="B448" s="446"/>
      <c r="C448" s="446"/>
      <c r="D448" s="447"/>
      <c r="E448" s="548"/>
      <c r="F448" s="549"/>
      <c r="G448" s="546"/>
      <c r="H448" s="547"/>
      <c r="I448" s="544"/>
      <c r="J448" s="545"/>
    </row>
    <row r="449" spans="1:10" x14ac:dyDescent="0.25">
      <c r="A449" s="441" t="s">
        <v>531</v>
      </c>
      <c r="B449" s="442"/>
      <c r="C449" s="442"/>
      <c r="D449" s="443"/>
      <c r="E449" s="553"/>
      <c r="F449" s="554"/>
      <c r="G449" s="553"/>
      <c r="H449" s="554"/>
      <c r="I449" s="555"/>
      <c r="J449" s="556"/>
    </row>
    <row r="450" spans="1:10" x14ac:dyDescent="0.25">
      <c r="A450" s="445" t="s">
        <v>532</v>
      </c>
      <c r="B450" s="446"/>
      <c r="C450" s="446"/>
      <c r="D450" s="447"/>
      <c r="E450" s="548"/>
      <c r="F450" s="549"/>
      <c r="G450" s="546"/>
      <c r="H450" s="547"/>
      <c r="I450" s="544"/>
      <c r="J450" s="545"/>
    </row>
    <row r="451" spans="1:10" x14ac:dyDescent="0.25">
      <c r="A451" s="441" t="s">
        <v>537</v>
      </c>
      <c r="B451" s="442"/>
      <c r="C451" s="442"/>
      <c r="D451" s="443"/>
      <c r="E451" s="557"/>
      <c r="F451" s="558"/>
      <c r="G451" s="557"/>
      <c r="H451" s="558"/>
      <c r="I451" s="559"/>
      <c r="J451" s="560"/>
    </row>
    <row r="452" spans="1:10" x14ac:dyDescent="0.25">
      <c r="A452" s="429"/>
      <c r="B452" s="430"/>
      <c r="C452" s="430"/>
      <c r="D452" s="431"/>
      <c r="E452" s="548"/>
      <c r="F452" s="549"/>
      <c r="G452" s="546"/>
      <c r="H452" s="547"/>
      <c r="I452" s="546"/>
      <c r="J452" s="547"/>
    </row>
    <row r="453" spans="1:10" x14ac:dyDescent="0.25">
      <c r="A453" s="429"/>
      <c r="B453" s="430"/>
      <c r="C453" s="430"/>
      <c r="D453" s="431"/>
      <c r="E453" s="548"/>
      <c r="F453" s="549"/>
      <c r="G453" s="546"/>
      <c r="H453" s="547"/>
      <c r="I453" s="546"/>
      <c r="J453" s="547"/>
    </row>
    <row r="454" spans="1:10" x14ac:dyDescent="0.25">
      <c r="A454" s="429"/>
      <c r="B454" s="430"/>
      <c r="C454" s="430"/>
      <c r="D454" s="431"/>
      <c r="E454" s="548"/>
      <c r="F454" s="549"/>
      <c r="G454" s="546"/>
      <c r="H454" s="547"/>
      <c r="I454" s="546"/>
      <c r="J454" s="547"/>
    </row>
    <row r="455" spans="1:10" x14ac:dyDescent="0.25">
      <c r="A455" s="434" t="s">
        <v>534</v>
      </c>
      <c r="B455" s="435"/>
      <c r="C455" s="435"/>
      <c r="D455" s="436"/>
      <c r="E455" s="567">
        <f>SUM(E445:E454)</f>
        <v>0</v>
      </c>
      <c r="F455" s="568"/>
      <c r="G455" s="567">
        <f>SUM(G445:G454)</f>
        <v>0</v>
      </c>
      <c r="H455" s="568"/>
      <c r="I455" s="567">
        <f>SUM(I445:I454)</f>
        <v>0</v>
      </c>
      <c r="J455" s="568"/>
    </row>
    <row r="456" spans="1:10" ht="13.2" customHeight="1" x14ac:dyDescent="0.25">
      <c r="A456" s="486" t="s">
        <v>861</v>
      </c>
      <c r="B456" s="561"/>
      <c r="C456" s="561"/>
      <c r="D456" s="561"/>
      <c r="E456" s="561"/>
      <c r="F456" s="561"/>
      <c r="G456" s="561"/>
      <c r="H456" s="561"/>
      <c r="I456" s="561"/>
      <c r="J456" s="562"/>
    </row>
    <row r="457" spans="1:10" ht="13.2" customHeight="1" x14ac:dyDescent="0.25">
      <c r="A457" s="489" t="s">
        <v>862</v>
      </c>
      <c r="B457" s="563"/>
      <c r="C457" s="563"/>
      <c r="D457" s="563"/>
      <c r="E457" s="563"/>
      <c r="F457" s="563"/>
      <c r="G457" s="563"/>
      <c r="H457" s="563"/>
      <c r="I457" s="563"/>
      <c r="J457" s="564"/>
    </row>
    <row r="458" spans="1:10" ht="13.2" customHeight="1" x14ac:dyDescent="0.25">
      <c r="A458" s="489" t="s">
        <v>863</v>
      </c>
      <c r="B458" s="563"/>
      <c r="C458" s="563"/>
      <c r="D458" s="563"/>
      <c r="E458" s="563"/>
      <c r="F458" s="563"/>
      <c r="G458" s="563"/>
      <c r="H458" s="563"/>
      <c r="I458" s="563"/>
      <c r="J458" s="564"/>
    </row>
    <row r="459" spans="1:10" ht="13.2" customHeight="1" x14ac:dyDescent="0.25">
      <c r="A459" s="492" t="s">
        <v>864</v>
      </c>
      <c r="B459" s="565"/>
      <c r="C459" s="565"/>
      <c r="D459" s="565"/>
      <c r="E459" s="565"/>
      <c r="F459" s="565"/>
      <c r="G459" s="565"/>
      <c r="H459" s="565"/>
      <c r="I459" s="565"/>
      <c r="J459" s="566"/>
    </row>
    <row r="460" spans="1:10" x14ac:dyDescent="0.25">
      <c r="A460" s="461"/>
      <c r="B460" s="462"/>
      <c r="C460" s="462"/>
      <c r="D460" s="462"/>
      <c r="E460" s="462"/>
      <c r="F460" s="462"/>
      <c r="G460" s="462"/>
      <c r="H460" s="462"/>
      <c r="I460" s="462"/>
      <c r="J460" s="463"/>
    </row>
    <row r="461" spans="1:10" x14ac:dyDescent="0.25">
      <c r="A461" s="464"/>
      <c r="B461" s="465"/>
      <c r="C461" s="465"/>
      <c r="D461" s="465"/>
      <c r="E461" s="465"/>
      <c r="F461" s="465"/>
      <c r="G461" s="465"/>
      <c r="H461" s="465"/>
      <c r="I461" s="465"/>
      <c r="J461" s="466"/>
    </row>
    <row r="462" spans="1:10" x14ac:dyDescent="0.25">
      <c r="A462" s="464"/>
      <c r="B462" s="465"/>
      <c r="C462" s="465"/>
      <c r="D462" s="465"/>
      <c r="E462" s="465"/>
      <c r="F462" s="465"/>
      <c r="G462" s="465"/>
      <c r="H462" s="465"/>
      <c r="I462" s="465"/>
      <c r="J462" s="466"/>
    </row>
    <row r="463" spans="1:10" x14ac:dyDescent="0.25">
      <c r="A463" s="464"/>
      <c r="B463" s="465"/>
      <c r="C463" s="465"/>
      <c r="D463" s="465"/>
      <c r="E463" s="465"/>
      <c r="F463" s="465"/>
      <c r="G463" s="465"/>
      <c r="H463" s="465"/>
      <c r="I463" s="465"/>
      <c r="J463" s="466"/>
    </row>
    <row r="464" spans="1:10" x14ac:dyDescent="0.25">
      <c r="A464" s="464"/>
      <c r="B464" s="465"/>
      <c r="C464" s="465"/>
      <c r="D464" s="465"/>
      <c r="E464" s="465"/>
      <c r="F464" s="465"/>
      <c r="G464" s="465"/>
      <c r="H464" s="465"/>
      <c r="I464" s="465"/>
      <c r="J464" s="466"/>
    </row>
    <row r="465" spans="1:10" x14ac:dyDescent="0.25">
      <c r="A465" s="464"/>
      <c r="B465" s="465"/>
      <c r="C465" s="465"/>
      <c r="D465" s="465"/>
      <c r="E465" s="465"/>
      <c r="F465" s="465"/>
      <c r="G465" s="465"/>
      <c r="H465" s="465"/>
      <c r="I465" s="465"/>
      <c r="J465" s="466"/>
    </row>
    <row r="466" spans="1:10" x14ac:dyDescent="0.25">
      <c r="A466" s="464"/>
      <c r="B466" s="465"/>
      <c r="C466" s="465"/>
      <c r="D466" s="465"/>
      <c r="E466" s="465"/>
      <c r="F466" s="465"/>
      <c r="G466" s="465"/>
      <c r="H466" s="465"/>
      <c r="I466" s="465"/>
      <c r="J466" s="466"/>
    </row>
    <row r="467" spans="1:10" x14ac:dyDescent="0.25">
      <c r="A467" s="464"/>
      <c r="B467" s="465"/>
      <c r="C467" s="465"/>
      <c r="D467" s="465"/>
      <c r="E467" s="465"/>
      <c r="F467" s="465"/>
      <c r="G467" s="465"/>
      <c r="H467" s="465"/>
      <c r="I467" s="465"/>
      <c r="J467" s="466"/>
    </row>
    <row r="468" spans="1:10" x14ac:dyDescent="0.25">
      <c r="A468" s="464"/>
      <c r="B468" s="465"/>
      <c r="C468" s="465"/>
      <c r="D468" s="465"/>
      <c r="E468" s="465"/>
      <c r="F468" s="465"/>
      <c r="G468" s="465"/>
      <c r="H468" s="465"/>
      <c r="I468" s="465"/>
      <c r="J468" s="466"/>
    </row>
    <row r="469" spans="1:10" x14ac:dyDescent="0.25">
      <c r="A469" s="464"/>
      <c r="B469" s="465"/>
      <c r="C469" s="465"/>
      <c r="D469" s="465"/>
      <c r="E469" s="465"/>
      <c r="F469" s="465"/>
      <c r="G469" s="465"/>
      <c r="H469" s="465"/>
      <c r="I469" s="465"/>
      <c r="J469" s="466"/>
    </row>
    <row r="470" spans="1:10" x14ac:dyDescent="0.25">
      <c r="A470" s="464"/>
      <c r="B470" s="465"/>
      <c r="C470" s="465"/>
      <c r="D470" s="465"/>
      <c r="E470" s="465"/>
      <c r="F470" s="465"/>
      <c r="G470" s="465"/>
      <c r="H470" s="465"/>
      <c r="I470" s="465"/>
      <c r="J470" s="466"/>
    </row>
    <row r="471" spans="1:10" x14ac:dyDescent="0.25">
      <c r="A471" s="464"/>
      <c r="B471" s="465"/>
      <c r="C471" s="465"/>
      <c r="D471" s="465"/>
      <c r="E471" s="465"/>
      <c r="F471" s="465"/>
      <c r="G471" s="465"/>
      <c r="H471" s="465"/>
      <c r="I471" s="465"/>
      <c r="J471" s="466"/>
    </row>
    <row r="472" spans="1:10" x14ac:dyDescent="0.25">
      <c r="A472" s="464"/>
      <c r="B472" s="465"/>
      <c r="C472" s="465"/>
      <c r="D472" s="465"/>
      <c r="E472" s="465"/>
      <c r="F472" s="465"/>
      <c r="G472" s="465"/>
      <c r="H472" s="465"/>
      <c r="I472" s="465"/>
      <c r="J472" s="466"/>
    </row>
    <row r="473" spans="1:10" x14ac:dyDescent="0.25">
      <c r="A473" s="464"/>
      <c r="B473" s="465"/>
      <c r="C473" s="465"/>
      <c r="D473" s="465"/>
      <c r="E473" s="465"/>
      <c r="F473" s="465"/>
      <c r="G473" s="465"/>
      <c r="H473" s="465"/>
      <c r="I473" s="465"/>
      <c r="J473" s="466"/>
    </row>
    <row r="474" spans="1:10" x14ac:dyDescent="0.25">
      <c r="A474" s="464"/>
      <c r="B474" s="465"/>
      <c r="C474" s="465"/>
      <c r="D474" s="465"/>
      <c r="E474" s="465"/>
      <c r="F474" s="465"/>
      <c r="G474" s="465"/>
      <c r="H474" s="465"/>
      <c r="I474" s="465"/>
      <c r="J474" s="466"/>
    </row>
    <row r="475" spans="1:10" x14ac:dyDescent="0.25">
      <c r="A475" s="464"/>
      <c r="B475" s="465"/>
      <c r="C475" s="465"/>
      <c r="D475" s="465"/>
      <c r="E475" s="465"/>
      <c r="F475" s="465"/>
      <c r="G475" s="465"/>
      <c r="H475" s="465"/>
      <c r="I475" s="465"/>
      <c r="J475" s="466"/>
    </row>
    <row r="476" spans="1:10" x14ac:dyDescent="0.25">
      <c r="A476" s="464"/>
      <c r="B476" s="465"/>
      <c r="C476" s="465"/>
      <c r="D476" s="465"/>
      <c r="E476" s="465"/>
      <c r="F476" s="465"/>
      <c r="G476" s="465"/>
      <c r="H476" s="465"/>
      <c r="I476" s="465"/>
      <c r="J476" s="466"/>
    </row>
    <row r="477" spans="1:10" x14ac:dyDescent="0.25">
      <c r="A477" s="464"/>
      <c r="B477" s="465"/>
      <c r="C477" s="465"/>
      <c r="D477" s="465"/>
      <c r="E477" s="465"/>
      <c r="F477" s="465"/>
      <c r="G477" s="465"/>
      <c r="H477" s="465"/>
      <c r="I477" s="465"/>
      <c r="J477" s="466"/>
    </row>
    <row r="478" spans="1:10" x14ac:dyDescent="0.25">
      <c r="A478" s="464"/>
      <c r="B478" s="465"/>
      <c r="C478" s="465"/>
      <c r="D478" s="465"/>
      <c r="E478" s="465"/>
      <c r="F478" s="465"/>
      <c r="G478" s="465"/>
      <c r="H478" s="465"/>
      <c r="I478" s="465"/>
      <c r="J478" s="466"/>
    </row>
    <row r="479" spans="1:10" x14ac:dyDescent="0.25">
      <c r="A479" s="464"/>
      <c r="B479" s="465"/>
      <c r="C479" s="465"/>
      <c r="D479" s="465"/>
      <c r="E479" s="465"/>
      <c r="F479" s="465"/>
      <c r="G479" s="465"/>
      <c r="H479" s="465"/>
      <c r="I479" s="465"/>
      <c r="J479" s="466"/>
    </row>
    <row r="480" spans="1:10" x14ac:dyDescent="0.25">
      <c r="A480" s="464"/>
      <c r="B480" s="465"/>
      <c r="C480" s="465"/>
      <c r="D480" s="465"/>
      <c r="E480" s="465"/>
      <c r="F480" s="465"/>
      <c r="G480" s="465"/>
      <c r="H480" s="465"/>
      <c r="I480" s="465"/>
      <c r="J480" s="466"/>
    </row>
    <row r="481" spans="1:10" x14ac:dyDescent="0.25">
      <c r="A481" s="464"/>
      <c r="B481" s="465"/>
      <c r="C481" s="465"/>
      <c r="D481" s="465"/>
      <c r="E481" s="465"/>
      <c r="F481" s="465"/>
      <c r="G481" s="465"/>
      <c r="H481" s="465"/>
      <c r="I481" s="465"/>
      <c r="J481" s="466"/>
    </row>
    <row r="482" spans="1:10" x14ac:dyDescent="0.25">
      <c r="A482" s="464"/>
      <c r="B482" s="465"/>
      <c r="C482" s="465"/>
      <c r="D482" s="465"/>
      <c r="E482" s="465"/>
      <c r="F482" s="465"/>
      <c r="G482" s="465"/>
      <c r="H482" s="465"/>
      <c r="I482" s="465"/>
      <c r="J482" s="466"/>
    </row>
    <row r="483" spans="1:10" x14ac:dyDescent="0.25">
      <c r="A483" s="464"/>
      <c r="B483" s="465"/>
      <c r="C483" s="465"/>
      <c r="D483" s="465"/>
      <c r="E483" s="465"/>
      <c r="F483" s="465"/>
      <c r="G483" s="465"/>
      <c r="H483" s="465"/>
      <c r="I483" s="465"/>
      <c r="J483" s="466"/>
    </row>
    <row r="484" spans="1:10" x14ac:dyDescent="0.25">
      <c r="A484" s="464"/>
      <c r="B484" s="465"/>
      <c r="C484" s="465"/>
      <c r="D484" s="465"/>
      <c r="E484" s="465"/>
      <c r="F484" s="465"/>
      <c r="G484" s="465"/>
      <c r="H484" s="465"/>
      <c r="I484" s="465"/>
      <c r="J484" s="466"/>
    </row>
    <row r="485" spans="1:10" x14ac:dyDescent="0.25">
      <c r="A485" s="464"/>
      <c r="B485" s="465"/>
      <c r="C485" s="465"/>
      <c r="D485" s="465"/>
      <c r="E485" s="465"/>
      <c r="F485" s="465"/>
      <c r="G485" s="465"/>
      <c r="H485" s="465"/>
      <c r="I485" s="465"/>
      <c r="J485" s="466"/>
    </row>
    <row r="486" spans="1:10" x14ac:dyDescent="0.25">
      <c r="A486" s="464"/>
      <c r="B486" s="465"/>
      <c r="C486" s="465"/>
      <c r="D486" s="465"/>
      <c r="E486" s="465"/>
      <c r="F486" s="465"/>
      <c r="G486" s="465"/>
      <c r="H486" s="465"/>
      <c r="I486" s="465"/>
      <c r="J486" s="466"/>
    </row>
    <row r="487" spans="1:10" x14ac:dyDescent="0.25">
      <c r="A487" s="464"/>
      <c r="B487" s="465"/>
      <c r="C487" s="465"/>
      <c r="D487" s="465"/>
      <c r="E487" s="465"/>
      <c r="F487" s="465"/>
      <c r="G487" s="465"/>
      <c r="H487" s="465"/>
      <c r="I487" s="465"/>
      <c r="J487" s="466"/>
    </row>
    <row r="488" spans="1:10" x14ac:dyDescent="0.25">
      <c r="A488" s="464"/>
      <c r="B488" s="465"/>
      <c r="C488" s="465"/>
      <c r="D488" s="465"/>
      <c r="E488" s="465"/>
      <c r="F488" s="465"/>
      <c r="G488" s="465"/>
      <c r="H488" s="465"/>
      <c r="I488" s="465"/>
      <c r="J488" s="466"/>
    </row>
    <row r="489" spans="1:10" x14ac:dyDescent="0.25">
      <c r="A489" s="464"/>
      <c r="B489" s="465"/>
      <c r="C489" s="465"/>
      <c r="D489" s="465"/>
      <c r="E489" s="465"/>
      <c r="F489" s="465"/>
      <c r="G489" s="465"/>
      <c r="H489" s="465"/>
      <c r="I489" s="465"/>
      <c r="J489" s="466"/>
    </row>
    <row r="490" spans="1:10" x14ac:dyDescent="0.25">
      <c r="A490" s="467"/>
      <c r="B490" s="468"/>
      <c r="C490" s="468"/>
      <c r="D490" s="468"/>
      <c r="E490" s="468"/>
      <c r="F490" s="468"/>
      <c r="G490" s="468"/>
      <c r="H490" s="468"/>
      <c r="I490" s="468"/>
      <c r="J490" s="469"/>
    </row>
    <row r="491" spans="1:10" x14ac:dyDescent="0.25">
      <c r="A491" s="187"/>
      <c r="B491" s="187"/>
      <c r="C491" s="187"/>
      <c r="D491" s="187"/>
      <c r="E491" s="187"/>
      <c r="F491" s="187"/>
      <c r="G491" s="187"/>
      <c r="H491" s="187"/>
      <c r="I491" s="187"/>
      <c r="J491" s="187"/>
    </row>
    <row r="492" spans="1:10" ht="15.6" x14ac:dyDescent="0.3">
      <c r="A492" s="351" t="s">
        <v>848</v>
      </c>
      <c r="B492" s="352"/>
      <c r="C492" s="352"/>
      <c r="D492" s="352"/>
      <c r="E492" s="352"/>
      <c r="F492" s="352"/>
      <c r="G492" s="352"/>
      <c r="H492" s="349" t="str">
        <f>'CONTACT INFORMATION'!$A$24</f>
        <v>Fresno</v>
      </c>
      <c r="I492" s="349"/>
      <c r="J492" s="350"/>
    </row>
    <row r="493" spans="1:10" ht="15.6" x14ac:dyDescent="0.3">
      <c r="A493" s="57"/>
      <c r="B493" s="57"/>
      <c r="C493" s="57"/>
      <c r="D493" s="57"/>
      <c r="E493" s="57"/>
      <c r="F493" s="57"/>
      <c r="G493" s="57"/>
      <c r="H493" s="57"/>
      <c r="I493" s="57"/>
      <c r="J493" s="57"/>
    </row>
    <row r="494" spans="1:10" ht="13.8" x14ac:dyDescent="0.25">
      <c r="A494" s="458" t="s">
        <v>906</v>
      </c>
      <c r="B494" s="459"/>
      <c r="C494" s="459"/>
      <c r="D494" s="459"/>
      <c r="E494" s="459"/>
      <c r="F494" s="459"/>
      <c r="G494" s="459"/>
      <c r="H494" s="459"/>
      <c r="I494" s="459"/>
      <c r="J494" s="460"/>
    </row>
    <row r="495" spans="1:10" ht="13.2" customHeight="1" x14ac:dyDescent="0.25">
      <c r="A495" s="455" t="s">
        <v>854</v>
      </c>
      <c r="B495" s="519"/>
      <c r="C495" s="519"/>
      <c r="D495" s="520"/>
      <c r="E495" s="527"/>
      <c r="F495" s="528"/>
      <c r="G495" s="528"/>
      <c r="H495" s="528"/>
      <c r="I495" s="528"/>
      <c r="J495" s="529"/>
    </row>
    <row r="496" spans="1:10" ht="13.2" customHeight="1" x14ac:dyDescent="0.25">
      <c r="A496" s="495" t="s">
        <v>853</v>
      </c>
      <c r="B496" s="496"/>
      <c r="C496" s="496"/>
      <c r="D496" s="497"/>
      <c r="E496" s="530"/>
      <c r="F496" s="531"/>
      <c r="G496" s="531"/>
      <c r="H496" s="531"/>
      <c r="I496" s="531"/>
      <c r="J496" s="532"/>
    </row>
    <row r="497" spans="1:10" x14ac:dyDescent="0.25">
      <c r="A497" s="521" t="s">
        <v>808</v>
      </c>
      <c r="B497" s="522"/>
      <c r="C497" s="522"/>
      <c r="D497" s="523"/>
      <c r="E497" s="471"/>
      <c r="F497" s="472"/>
      <c r="G497" s="472"/>
      <c r="H497" s="472"/>
      <c r="I497" s="472"/>
      <c r="J497" s="473"/>
    </row>
    <row r="498" spans="1:10" ht="13.2" customHeight="1" x14ac:dyDescent="0.25">
      <c r="A498" s="58"/>
      <c r="B498" s="59"/>
      <c r="C498" s="59"/>
      <c r="D498" s="59"/>
      <c r="E498" s="550" t="s">
        <v>535</v>
      </c>
      <c r="F498" s="550"/>
      <c r="G498" s="550" t="s">
        <v>533</v>
      </c>
      <c r="H498" s="550"/>
      <c r="I498" s="551" t="s">
        <v>849</v>
      </c>
      <c r="J498" s="552"/>
    </row>
    <row r="499" spans="1:10" x14ac:dyDescent="0.25">
      <c r="A499" s="441" t="s">
        <v>527</v>
      </c>
      <c r="B499" s="442"/>
      <c r="C499" s="442"/>
      <c r="D499" s="443"/>
      <c r="E499" s="553"/>
      <c r="F499" s="554"/>
      <c r="G499" s="553"/>
      <c r="H499" s="554"/>
      <c r="I499" s="555"/>
      <c r="J499" s="556"/>
    </row>
    <row r="500" spans="1:10" x14ac:dyDescent="0.25">
      <c r="A500" s="445" t="s">
        <v>528</v>
      </c>
      <c r="B500" s="446"/>
      <c r="C500" s="446"/>
      <c r="D500" s="447"/>
      <c r="E500" s="548"/>
      <c r="F500" s="549"/>
      <c r="G500" s="546"/>
      <c r="H500" s="547"/>
      <c r="I500" s="544"/>
      <c r="J500" s="545"/>
    </row>
    <row r="501" spans="1:10" x14ac:dyDescent="0.25">
      <c r="A501" s="441" t="s">
        <v>529</v>
      </c>
      <c r="B501" s="442"/>
      <c r="C501" s="442"/>
      <c r="D501" s="443"/>
      <c r="E501" s="553"/>
      <c r="F501" s="554"/>
      <c r="G501" s="553"/>
      <c r="H501" s="554"/>
      <c r="I501" s="555"/>
      <c r="J501" s="556"/>
    </row>
    <row r="502" spans="1:10" x14ac:dyDescent="0.25">
      <c r="A502" s="445" t="s">
        <v>530</v>
      </c>
      <c r="B502" s="446"/>
      <c r="C502" s="446"/>
      <c r="D502" s="447"/>
      <c r="E502" s="548"/>
      <c r="F502" s="549"/>
      <c r="G502" s="546"/>
      <c r="H502" s="547"/>
      <c r="I502" s="544"/>
      <c r="J502" s="545"/>
    </row>
    <row r="503" spans="1:10" x14ac:dyDescent="0.25">
      <c r="A503" s="441" t="s">
        <v>531</v>
      </c>
      <c r="B503" s="442"/>
      <c r="C503" s="442"/>
      <c r="D503" s="443"/>
      <c r="E503" s="553"/>
      <c r="F503" s="554"/>
      <c r="G503" s="553"/>
      <c r="H503" s="554"/>
      <c r="I503" s="555"/>
      <c r="J503" s="556"/>
    </row>
    <row r="504" spans="1:10" x14ac:dyDescent="0.25">
      <c r="A504" s="445" t="s">
        <v>532</v>
      </c>
      <c r="B504" s="446"/>
      <c r="C504" s="446"/>
      <c r="D504" s="447"/>
      <c r="E504" s="548"/>
      <c r="F504" s="549"/>
      <c r="G504" s="546"/>
      <c r="H504" s="547"/>
      <c r="I504" s="544"/>
      <c r="J504" s="545"/>
    </row>
    <row r="505" spans="1:10" x14ac:dyDescent="0.25">
      <c r="A505" s="441" t="s">
        <v>537</v>
      </c>
      <c r="B505" s="442"/>
      <c r="C505" s="442"/>
      <c r="D505" s="443"/>
      <c r="E505" s="557"/>
      <c r="F505" s="558"/>
      <c r="G505" s="557"/>
      <c r="H505" s="558"/>
      <c r="I505" s="559"/>
      <c r="J505" s="560"/>
    </row>
    <row r="506" spans="1:10" x14ac:dyDescent="0.25">
      <c r="A506" s="429"/>
      <c r="B506" s="430"/>
      <c r="C506" s="430"/>
      <c r="D506" s="431"/>
      <c r="E506" s="548"/>
      <c r="F506" s="549"/>
      <c r="G506" s="546"/>
      <c r="H506" s="547"/>
      <c r="I506" s="546"/>
      <c r="J506" s="547"/>
    </row>
    <row r="507" spans="1:10" x14ac:dyDescent="0.25">
      <c r="A507" s="429"/>
      <c r="B507" s="430"/>
      <c r="C507" s="430"/>
      <c r="D507" s="431"/>
      <c r="E507" s="548"/>
      <c r="F507" s="549"/>
      <c r="G507" s="546"/>
      <c r="H507" s="547"/>
      <c r="I507" s="546"/>
      <c r="J507" s="547"/>
    </row>
    <row r="508" spans="1:10" x14ac:dyDescent="0.25">
      <c r="A508" s="429"/>
      <c r="B508" s="430"/>
      <c r="C508" s="430"/>
      <c r="D508" s="431"/>
      <c r="E508" s="548"/>
      <c r="F508" s="549"/>
      <c r="G508" s="546"/>
      <c r="H508" s="547"/>
      <c r="I508" s="546"/>
      <c r="J508" s="547"/>
    </row>
    <row r="509" spans="1:10" x14ac:dyDescent="0.25">
      <c r="A509" s="434" t="s">
        <v>534</v>
      </c>
      <c r="B509" s="435"/>
      <c r="C509" s="435"/>
      <c r="D509" s="436"/>
      <c r="E509" s="567">
        <f>SUM(E499:E508)</f>
        <v>0</v>
      </c>
      <c r="F509" s="568"/>
      <c r="G509" s="567">
        <f>SUM(G499:G508)</f>
        <v>0</v>
      </c>
      <c r="H509" s="568"/>
      <c r="I509" s="567">
        <f>SUM(I499:I508)</f>
        <v>0</v>
      </c>
      <c r="J509" s="568"/>
    </row>
    <row r="510" spans="1:10" ht="13.2" customHeight="1" x14ac:dyDescent="0.25">
      <c r="A510" s="486" t="s">
        <v>861</v>
      </c>
      <c r="B510" s="561"/>
      <c r="C510" s="561"/>
      <c r="D510" s="561"/>
      <c r="E510" s="561"/>
      <c r="F510" s="561"/>
      <c r="G510" s="561"/>
      <c r="H510" s="561"/>
      <c r="I510" s="561"/>
      <c r="J510" s="562"/>
    </row>
    <row r="511" spans="1:10" ht="13.2" customHeight="1" x14ac:dyDescent="0.25">
      <c r="A511" s="489" t="s">
        <v>862</v>
      </c>
      <c r="B511" s="563"/>
      <c r="C511" s="563"/>
      <c r="D511" s="563"/>
      <c r="E511" s="563"/>
      <c r="F511" s="563"/>
      <c r="G511" s="563"/>
      <c r="H511" s="563"/>
      <c r="I511" s="563"/>
      <c r="J511" s="564"/>
    </row>
    <row r="512" spans="1:10" ht="13.2" customHeight="1" x14ac:dyDescent="0.25">
      <c r="A512" s="489" t="s">
        <v>863</v>
      </c>
      <c r="B512" s="563"/>
      <c r="C512" s="563"/>
      <c r="D512" s="563"/>
      <c r="E512" s="563"/>
      <c r="F512" s="563"/>
      <c r="G512" s="563"/>
      <c r="H512" s="563"/>
      <c r="I512" s="563"/>
      <c r="J512" s="564"/>
    </row>
    <row r="513" spans="1:10" ht="13.2" customHeight="1" x14ac:dyDescent="0.25">
      <c r="A513" s="492" t="s">
        <v>864</v>
      </c>
      <c r="B513" s="565"/>
      <c r="C513" s="565"/>
      <c r="D513" s="565"/>
      <c r="E513" s="565"/>
      <c r="F513" s="565"/>
      <c r="G513" s="565"/>
      <c r="H513" s="565"/>
      <c r="I513" s="565"/>
      <c r="J513" s="566"/>
    </row>
    <row r="514" spans="1:10" x14ac:dyDescent="0.25">
      <c r="A514" s="461"/>
      <c r="B514" s="462"/>
      <c r="C514" s="462"/>
      <c r="D514" s="462"/>
      <c r="E514" s="462"/>
      <c r="F514" s="462"/>
      <c r="G514" s="462"/>
      <c r="H514" s="462"/>
      <c r="I514" s="462"/>
      <c r="J514" s="463"/>
    </row>
    <row r="515" spans="1:10" x14ac:dyDescent="0.25">
      <c r="A515" s="464"/>
      <c r="B515" s="465"/>
      <c r="C515" s="465"/>
      <c r="D515" s="465"/>
      <c r="E515" s="465"/>
      <c r="F515" s="465"/>
      <c r="G515" s="465"/>
      <c r="H515" s="465"/>
      <c r="I515" s="465"/>
      <c r="J515" s="466"/>
    </row>
    <row r="516" spans="1:10" x14ac:dyDescent="0.25">
      <c r="A516" s="464"/>
      <c r="B516" s="465"/>
      <c r="C516" s="465"/>
      <c r="D516" s="465"/>
      <c r="E516" s="465"/>
      <c r="F516" s="465"/>
      <c r="G516" s="465"/>
      <c r="H516" s="465"/>
      <c r="I516" s="465"/>
      <c r="J516" s="466"/>
    </row>
    <row r="517" spans="1:10" x14ac:dyDescent="0.25">
      <c r="A517" s="464"/>
      <c r="B517" s="465"/>
      <c r="C517" s="465"/>
      <c r="D517" s="465"/>
      <c r="E517" s="465"/>
      <c r="F517" s="465"/>
      <c r="G517" s="465"/>
      <c r="H517" s="465"/>
      <c r="I517" s="465"/>
      <c r="J517" s="466"/>
    </row>
    <row r="518" spans="1:10" x14ac:dyDescent="0.25">
      <c r="A518" s="464"/>
      <c r="B518" s="465"/>
      <c r="C518" s="465"/>
      <c r="D518" s="465"/>
      <c r="E518" s="465"/>
      <c r="F518" s="465"/>
      <c r="G518" s="465"/>
      <c r="H518" s="465"/>
      <c r="I518" s="465"/>
      <c r="J518" s="466"/>
    </row>
    <row r="519" spans="1:10" x14ac:dyDescent="0.25">
      <c r="A519" s="464"/>
      <c r="B519" s="465"/>
      <c r="C519" s="465"/>
      <c r="D519" s="465"/>
      <c r="E519" s="465"/>
      <c r="F519" s="465"/>
      <c r="G519" s="465"/>
      <c r="H519" s="465"/>
      <c r="I519" s="465"/>
      <c r="J519" s="466"/>
    </row>
    <row r="520" spans="1:10" x14ac:dyDescent="0.25">
      <c r="A520" s="464"/>
      <c r="B520" s="465"/>
      <c r="C520" s="465"/>
      <c r="D520" s="465"/>
      <c r="E520" s="465"/>
      <c r="F520" s="465"/>
      <c r="G520" s="465"/>
      <c r="H520" s="465"/>
      <c r="I520" s="465"/>
      <c r="J520" s="466"/>
    </row>
    <row r="521" spans="1:10" x14ac:dyDescent="0.25">
      <c r="A521" s="464"/>
      <c r="B521" s="465"/>
      <c r="C521" s="465"/>
      <c r="D521" s="465"/>
      <c r="E521" s="465"/>
      <c r="F521" s="465"/>
      <c r="G521" s="465"/>
      <c r="H521" s="465"/>
      <c r="I521" s="465"/>
      <c r="J521" s="466"/>
    </row>
    <row r="522" spans="1:10" x14ac:dyDescent="0.25">
      <c r="A522" s="464"/>
      <c r="B522" s="465"/>
      <c r="C522" s="465"/>
      <c r="D522" s="465"/>
      <c r="E522" s="465"/>
      <c r="F522" s="465"/>
      <c r="G522" s="465"/>
      <c r="H522" s="465"/>
      <c r="I522" s="465"/>
      <c r="J522" s="466"/>
    </row>
    <row r="523" spans="1:10" x14ac:dyDescent="0.25">
      <c r="A523" s="464"/>
      <c r="B523" s="465"/>
      <c r="C523" s="465"/>
      <c r="D523" s="465"/>
      <c r="E523" s="465"/>
      <c r="F523" s="465"/>
      <c r="G523" s="465"/>
      <c r="H523" s="465"/>
      <c r="I523" s="465"/>
      <c r="J523" s="466"/>
    </row>
    <row r="524" spans="1:10" x14ac:dyDescent="0.25">
      <c r="A524" s="464"/>
      <c r="B524" s="465"/>
      <c r="C524" s="465"/>
      <c r="D524" s="465"/>
      <c r="E524" s="465"/>
      <c r="F524" s="465"/>
      <c r="G524" s="465"/>
      <c r="H524" s="465"/>
      <c r="I524" s="465"/>
      <c r="J524" s="466"/>
    </row>
    <row r="525" spans="1:10" x14ac:dyDescent="0.25">
      <c r="A525" s="464"/>
      <c r="B525" s="465"/>
      <c r="C525" s="465"/>
      <c r="D525" s="465"/>
      <c r="E525" s="465"/>
      <c r="F525" s="465"/>
      <c r="G525" s="465"/>
      <c r="H525" s="465"/>
      <c r="I525" s="465"/>
      <c r="J525" s="466"/>
    </row>
    <row r="526" spans="1:10" x14ac:dyDescent="0.25">
      <c r="A526" s="464"/>
      <c r="B526" s="465"/>
      <c r="C526" s="465"/>
      <c r="D526" s="465"/>
      <c r="E526" s="465"/>
      <c r="F526" s="465"/>
      <c r="G526" s="465"/>
      <c r="H526" s="465"/>
      <c r="I526" s="465"/>
      <c r="J526" s="466"/>
    </row>
    <row r="527" spans="1:10" x14ac:dyDescent="0.25">
      <c r="A527" s="464"/>
      <c r="B527" s="465"/>
      <c r="C527" s="465"/>
      <c r="D527" s="465"/>
      <c r="E527" s="465"/>
      <c r="F527" s="465"/>
      <c r="G527" s="465"/>
      <c r="H527" s="465"/>
      <c r="I527" s="465"/>
      <c r="J527" s="466"/>
    </row>
    <row r="528" spans="1:10" x14ac:dyDescent="0.25">
      <c r="A528" s="464"/>
      <c r="B528" s="465"/>
      <c r="C528" s="465"/>
      <c r="D528" s="465"/>
      <c r="E528" s="465"/>
      <c r="F528" s="465"/>
      <c r="G528" s="465"/>
      <c r="H528" s="465"/>
      <c r="I528" s="465"/>
      <c r="J528" s="466"/>
    </row>
    <row r="529" spans="1:10" x14ac:dyDescent="0.25">
      <c r="A529" s="464"/>
      <c r="B529" s="465"/>
      <c r="C529" s="465"/>
      <c r="D529" s="465"/>
      <c r="E529" s="465"/>
      <c r="F529" s="465"/>
      <c r="G529" s="465"/>
      <c r="H529" s="465"/>
      <c r="I529" s="465"/>
      <c r="J529" s="466"/>
    </row>
    <row r="530" spans="1:10" x14ac:dyDescent="0.25">
      <c r="A530" s="464"/>
      <c r="B530" s="465"/>
      <c r="C530" s="465"/>
      <c r="D530" s="465"/>
      <c r="E530" s="465"/>
      <c r="F530" s="465"/>
      <c r="G530" s="465"/>
      <c r="H530" s="465"/>
      <c r="I530" s="465"/>
      <c r="J530" s="466"/>
    </row>
    <row r="531" spans="1:10" x14ac:dyDescent="0.25">
      <c r="A531" s="464"/>
      <c r="B531" s="465"/>
      <c r="C531" s="465"/>
      <c r="D531" s="465"/>
      <c r="E531" s="465"/>
      <c r="F531" s="465"/>
      <c r="G531" s="465"/>
      <c r="H531" s="465"/>
      <c r="I531" s="465"/>
      <c r="J531" s="466"/>
    </row>
    <row r="532" spans="1:10" x14ac:dyDescent="0.25">
      <c r="A532" s="464"/>
      <c r="B532" s="465"/>
      <c r="C532" s="465"/>
      <c r="D532" s="465"/>
      <c r="E532" s="465"/>
      <c r="F532" s="465"/>
      <c r="G532" s="465"/>
      <c r="H532" s="465"/>
      <c r="I532" s="465"/>
      <c r="J532" s="466"/>
    </row>
    <row r="533" spans="1:10" x14ac:dyDescent="0.25">
      <c r="A533" s="464"/>
      <c r="B533" s="465"/>
      <c r="C533" s="465"/>
      <c r="D533" s="465"/>
      <c r="E533" s="465"/>
      <c r="F533" s="465"/>
      <c r="G533" s="465"/>
      <c r="H533" s="465"/>
      <c r="I533" s="465"/>
      <c r="J533" s="466"/>
    </row>
    <row r="534" spans="1:10" x14ac:dyDescent="0.25">
      <c r="A534" s="464"/>
      <c r="B534" s="465"/>
      <c r="C534" s="465"/>
      <c r="D534" s="465"/>
      <c r="E534" s="465"/>
      <c r="F534" s="465"/>
      <c r="G534" s="465"/>
      <c r="H534" s="465"/>
      <c r="I534" s="465"/>
      <c r="J534" s="466"/>
    </row>
    <row r="535" spans="1:10" x14ac:dyDescent="0.25">
      <c r="A535" s="464"/>
      <c r="B535" s="465"/>
      <c r="C535" s="465"/>
      <c r="D535" s="465"/>
      <c r="E535" s="465"/>
      <c r="F535" s="465"/>
      <c r="G535" s="465"/>
      <c r="H535" s="465"/>
      <c r="I535" s="465"/>
      <c r="J535" s="466"/>
    </row>
    <row r="536" spans="1:10" x14ac:dyDescent="0.25">
      <c r="A536" s="464"/>
      <c r="B536" s="465"/>
      <c r="C536" s="465"/>
      <c r="D536" s="465"/>
      <c r="E536" s="465"/>
      <c r="F536" s="465"/>
      <c r="G536" s="465"/>
      <c r="H536" s="465"/>
      <c r="I536" s="465"/>
      <c r="J536" s="466"/>
    </row>
    <row r="537" spans="1:10" x14ac:dyDescent="0.25">
      <c r="A537" s="464"/>
      <c r="B537" s="465"/>
      <c r="C537" s="465"/>
      <c r="D537" s="465"/>
      <c r="E537" s="465"/>
      <c r="F537" s="465"/>
      <c r="G537" s="465"/>
      <c r="H537" s="465"/>
      <c r="I537" s="465"/>
      <c r="J537" s="466"/>
    </row>
    <row r="538" spans="1:10" x14ac:dyDescent="0.25">
      <c r="A538" s="464"/>
      <c r="B538" s="465"/>
      <c r="C538" s="465"/>
      <c r="D538" s="465"/>
      <c r="E538" s="465"/>
      <c r="F538" s="465"/>
      <c r="G538" s="465"/>
      <c r="H538" s="465"/>
      <c r="I538" s="465"/>
      <c r="J538" s="466"/>
    </row>
    <row r="539" spans="1:10" x14ac:dyDescent="0.25">
      <c r="A539" s="464"/>
      <c r="B539" s="465"/>
      <c r="C539" s="465"/>
      <c r="D539" s="465"/>
      <c r="E539" s="465"/>
      <c r="F539" s="465"/>
      <c r="G539" s="465"/>
      <c r="H539" s="465"/>
      <c r="I539" s="465"/>
      <c r="J539" s="466"/>
    </row>
    <row r="540" spans="1:10" x14ac:dyDescent="0.25">
      <c r="A540" s="464"/>
      <c r="B540" s="465"/>
      <c r="C540" s="465"/>
      <c r="D540" s="465"/>
      <c r="E540" s="465"/>
      <c r="F540" s="465"/>
      <c r="G540" s="465"/>
      <c r="H540" s="465"/>
      <c r="I540" s="465"/>
      <c r="J540" s="466"/>
    </row>
    <row r="541" spans="1:10" x14ac:dyDescent="0.25">
      <c r="A541" s="464"/>
      <c r="B541" s="465"/>
      <c r="C541" s="465"/>
      <c r="D541" s="465"/>
      <c r="E541" s="465"/>
      <c r="F541" s="465"/>
      <c r="G541" s="465"/>
      <c r="H541" s="465"/>
      <c r="I541" s="465"/>
      <c r="J541" s="466"/>
    </row>
    <row r="542" spans="1:10" x14ac:dyDescent="0.25">
      <c r="A542" s="464"/>
      <c r="B542" s="465"/>
      <c r="C542" s="465"/>
      <c r="D542" s="465"/>
      <c r="E542" s="465"/>
      <c r="F542" s="465"/>
      <c r="G542" s="465"/>
      <c r="H542" s="465"/>
      <c r="I542" s="465"/>
      <c r="J542" s="466"/>
    </row>
    <row r="543" spans="1:10" x14ac:dyDescent="0.25">
      <c r="A543" s="464"/>
      <c r="B543" s="465"/>
      <c r="C543" s="465"/>
      <c r="D543" s="465"/>
      <c r="E543" s="465"/>
      <c r="F543" s="465"/>
      <c r="G543" s="465"/>
      <c r="H543" s="465"/>
      <c r="I543" s="465"/>
      <c r="J543" s="466"/>
    </row>
    <row r="544" spans="1:10" x14ac:dyDescent="0.25">
      <c r="A544" s="467"/>
      <c r="B544" s="468"/>
      <c r="C544" s="468"/>
      <c r="D544" s="468"/>
      <c r="E544" s="468"/>
      <c r="F544" s="468"/>
      <c r="G544" s="468"/>
      <c r="H544" s="468"/>
      <c r="I544" s="468"/>
      <c r="J544" s="469"/>
    </row>
    <row r="545" spans="1:10" x14ac:dyDescent="0.25">
      <c r="A545" s="187"/>
      <c r="B545" s="187"/>
      <c r="C545" s="187"/>
      <c r="D545" s="187"/>
      <c r="E545" s="187"/>
      <c r="F545" s="187"/>
      <c r="G545" s="187"/>
      <c r="H545" s="187"/>
      <c r="I545" s="187"/>
      <c r="J545" s="187"/>
    </row>
    <row r="546" spans="1:10" ht="15.6" x14ac:dyDescent="0.3">
      <c r="A546" s="351" t="s">
        <v>848</v>
      </c>
      <c r="B546" s="352"/>
      <c r="C546" s="352"/>
      <c r="D546" s="352"/>
      <c r="E546" s="352"/>
      <c r="F546" s="352"/>
      <c r="G546" s="352"/>
      <c r="H546" s="349" t="str">
        <f>'CONTACT INFORMATION'!$A$24</f>
        <v>Fresno</v>
      </c>
      <c r="I546" s="349"/>
      <c r="J546" s="350"/>
    </row>
    <row r="547" spans="1:10" ht="15.6" x14ac:dyDescent="0.3">
      <c r="A547" s="57"/>
      <c r="B547" s="57"/>
      <c r="C547" s="57"/>
      <c r="D547" s="57"/>
      <c r="E547" s="57"/>
      <c r="F547" s="57"/>
      <c r="G547" s="57"/>
      <c r="H547" s="57"/>
      <c r="I547" s="57"/>
      <c r="J547" s="57"/>
    </row>
    <row r="548" spans="1:10" ht="13.8" x14ac:dyDescent="0.25">
      <c r="A548" s="458" t="s">
        <v>907</v>
      </c>
      <c r="B548" s="459"/>
      <c r="C548" s="459"/>
      <c r="D548" s="459"/>
      <c r="E548" s="459"/>
      <c r="F548" s="459"/>
      <c r="G548" s="459"/>
      <c r="H548" s="459"/>
      <c r="I548" s="459"/>
      <c r="J548" s="460"/>
    </row>
    <row r="549" spans="1:10" ht="13.2" customHeight="1" x14ac:dyDescent="0.25">
      <c r="A549" s="455" t="s">
        <v>854</v>
      </c>
      <c r="B549" s="519"/>
      <c r="C549" s="519"/>
      <c r="D549" s="520"/>
      <c r="E549" s="527"/>
      <c r="F549" s="528"/>
      <c r="G549" s="528"/>
      <c r="H549" s="528"/>
      <c r="I549" s="528"/>
      <c r="J549" s="529"/>
    </row>
    <row r="550" spans="1:10" ht="13.2" customHeight="1" x14ac:dyDescent="0.25">
      <c r="A550" s="495" t="s">
        <v>853</v>
      </c>
      <c r="B550" s="496"/>
      <c r="C550" s="496"/>
      <c r="D550" s="497"/>
      <c r="E550" s="530"/>
      <c r="F550" s="531"/>
      <c r="G550" s="531"/>
      <c r="H550" s="531"/>
      <c r="I550" s="531"/>
      <c r="J550" s="532"/>
    </row>
    <row r="551" spans="1:10" x14ac:dyDescent="0.25">
      <c r="A551" s="521" t="s">
        <v>808</v>
      </c>
      <c r="B551" s="522"/>
      <c r="C551" s="522"/>
      <c r="D551" s="523"/>
      <c r="E551" s="471"/>
      <c r="F551" s="472"/>
      <c r="G551" s="472"/>
      <c r="H551" s="472"/>
      <c r="I551" s="472"/>
      <c r="J551" s="473"/>
    </row>
    <row r="552" spans="1:10" ht="13.2" customHeight="1" x14ac:dyDescent="0.25">
      <c r="A552" s="58"/>
      <c r="B552" s="59"/>
      <c r="C552" s="59"/>
      <c r="D552" s="59"/>
      <c r="E552" s="550" t="s">
        <v>535</v>
      </c>
      <c r="F552" s="550"/>
      <c r="G552" s="550" t="s">
        <v>533</v>
      </c>
      <c r="H552" s="550"/>
      <c r="I552" s="551" t="s">
        <v>849</v>
      </c>
      <c r="J552" s="552"/>
    </row>
    <row r="553" spans="1:10" x14ac:dyDescent="0.25">
      <c r="A553" s="441" t="s">
        <v>527</v>
      </c>
      <c r="B553" s="442"/>
      <c r="C553" s="442"/>
      <c r="D553" s="443"/>
      <c r="E553" s="553"/>
      <c r="F553" s="554"/>
      <c r="G553" s="553"/>
      <c r="H553" s="554"/>
      <c r="I553" s="555"/>
      <c r="J553" s="556"/>
    </row>
    <row r="554" spans="1:10" x14ac:dyDescent="0.25">
      <c r="A554" s="445" t="s">
        <v>528</v>
      </c>
      <c r="B554" s="446"/>
      <c r="C554" s="446"/>
      <c r="D554" s="447"/>
      <c r="E554" s="548"/>
      <c r="F554" s="549"/>
      <c r="G554" s="546"/>
      <c r="H554" s="547"/>
      <c r="I554" s="544"/>
      <c r="J554" s="545"/>
    </row>
    <row r="555" spans="1:10" x14ac:dyDescent="0.25">
      <c r="A555" s="441" t="s">
        <v>529</v>
      </c>
      <c r="B555" s="442"/>
      <c r="C555" s="442"/>
      <c r="D555" s="443"/>
      <c r="E555" s="553"/>
      <c r="F555" s="554"/>
      <c r="G555" s="553"/>
      <c r="H555" s="554"/>
      <c r="I555" s="555"/>
      <c r="J555" s="556"/>
    </row>
    <row r="556" spans="1:10" x14ac:dyDescent="0.25">
      <c r="A556" s="445" t="s">
        <v>530</v>
      </c>
      <c r="B556" s="446"/>
      <c r="C556" s="446"/>
      <c r="D556" s="447"/>
      <c r="E556" s="548"/>
      <c r="F556" s="549"/>
      <c r="G556" s="546"/>
      <c r="H556" s="547"/>
      <c r="I556" s="544"/>
      <c r="J556" s="545"/>
    </row>
    <row r="557" spans="1:10" x14ac:dyDescent="0.25">
      <c r="A557" s="441" t="s">
        <v>531</v>
      </c>
      <c r="B557" s="442"/>
      <c r="C557" s="442"/>
      <c r="D557" s="443"/>
      <c r="E557" s="553"/>
      <c r="F557" s="554"/>
      <c r="G557" s="553"/>
      <c r="H557" s="554"/>
      <c r="I557" s="555"/>
      <c r="J557" s="556"/>
    </row>
    <row r="558" spans="1:10" x14ac:dyDescent="0.25">
      <c r="A558" s="445" t="s">
        <v>532</v>
      </c>
      <c r="B558" s="446"/>
      <c r="C558" s="446"/>
      <c r="D558" s="447"/>
      <c r="E558" s="548"/>
      <c r="F558" s="549"/>
      <c r="G558" s="546"/>
      <c r="H558" s="547"/>
      <c r="I558" s="544"/>
      <c r="J558" s="545"/>
    </row>
    <row r="559" spans="1:10" x14ac:dyDescent="0.25">
      <c r="A559" s="441" t="s">
        <v>537</v>
      </c>
      <c r="B559" s="442"/>
      <c r="C559" s="442"/>
      <c r="D559" s="443"/>
      <c r="E559" s="557"/>
      <c r="F559" s="558"/>
      <c r="G559" s="557"/>
      <c r="H559" s="558"/>
      <c r="I559" s="559"/>
      <c r="J559" s="560"/>
    </row>
    <row r="560" spans="1:10" x14ac:dyDescent="0.25">
      <c r="A560" s="429"/>
      <c r="B560" s="430"/>
      <c r="C560" s="430"/>
      <c r="D560" s="431"/>
      <c r="E560" s="548"/>
      <c r="F560" s="549"/>
      <c r="G560" s="546"/>
      <c r="H560" s="547"/>
      <c r="I560" s="546"/>
      <c r="J560" s="547"/>
    </row>
    <row r="561" spans="1:10" x14ac:dyDescent="0.25">
      <c r="A561" s="429"/>
      <c r="B561" s="430"/>
      <c r="C561" s="430"/>
      <c r="D561" s="431"/>
      <c r="E561" s="548"/>
      <c r="F561" s="549"/>
      <c r="G561" s="546"/>
      <c r="H561" s="547"/>
      <c r="I561" s="546"/>
      <c r="J561" s="547"/>
    </row>
    <row r="562" spans="1:10" x14ac:dyDescent="0.25">
      <c r="A562" s="429"/>
      <c r="B562" s="430"/>
      <c r="C562" s="430"/>
      <c r="D562" s="431"/>
      <c r="E562" s="548"/>
      <c r="F562" s="549"/>
      <c r="G562" s="546"/>
      <c r="H562" s="547"/>
      <c r="I562" s="546"/>
      <c r="J562" s="547"/>
    </row>
    <row r="563" spans="1:10" x14ac:dyDescent="0.25">
      <c r="A563" s="434" t="s">
        <v>534</v>
      </c>
      <c r="B563" s="435"/>
      <c r="C563" s="435"/>
      <c r="D563" s="436"/>
      <c r="E563" s="567">
        <f>SUM(E553:E562)</f>
        <v>0</v>
      </c>
      <c r="F563" s="568"/>
      <c r="G563" s="567">
        <f>SUM(G553:G562)</f>
        <v>0</v>
      </c>
      <c r="H563" s="568"/>
      <c r="I563" s="567">
        <f>SUM(I553:I562)</f>
        <v>0</v>
      </c>
      <c r="J563" s="568"/>
    </row>
    <row r="564" spans="1:10" ht="13.2" customHeight="1" x14ac:dyDescent="0.25">
      <c r="A564" s="486" t="s">
        <v>861</v>
      </c>
      <c r="B564" s="561"/>
      <c r="C564" s="561"/>
      <c r="D564" s="561"/>
      <c r="E564" s="561"/>
      <c r="F564" s="561"/>
      <c r="G564" s="561"/>
      <c r="H564" s="561"/>
      <c r="I564" s="561"/>
      <c r="J564" s="562"/>
    </row>
    <row r="565" spans="1:10" ht="13.2" customHeight="1" x14ac:dyDescent="0.25">
      <c r="A565" s="489" t="s">
        <v>862</v>
      </c>
      <c r="B565" s="563"/>
      <c r="C565" s="563"/>
      <c r="D565" s="563"/>
      <c r="E565" s="563"/>
      <c r="F565" s="563"/>
      <c r="G565" s="563"/>
      <c r="H565" s="563"/>
      <c r="I565" s="563"/>
      <c r="J565" s="564"/>
    </row>
    <row r="566" spans="1:10" ht="13.2" customHeight="1" x14ac:dyDescent="0.25">
      <c r="A566" s="489" t="s">
        <v>863</v>
      </c>
      <c r="B566" s="563"/>
      <c r="C566" s="563"/>
      <c r="D566" s="563"/>
      <c r="E566" s="563"/>
      <c r="F566" s="563"/>
      <c r="G566" s="563"/>
      <c r="H566" s="563"/>
      <c r="I566" s="563"/>
      <c r="J566" s="564"/>
    </row>
    <row r="567" spans="1:10" ht="13.2" customHeight="1" x14ac:dyDescent="0.25">
      <c r="A567" s="492" t="s">
        <v>864</v>
      </c>
      <c r="B567" s="565"/>
      <c r="C567" s="565"/>
      <c r="D567" s="565"/>
      <c r="E567" s="565"/>
      <c r="F567" s="565"/>
      <c r="G567" s="565"/>
      <c r="H567" s="565"/>
      <c r="I567" s="565"/>
      <c r="J567" s="566"/>
    </row>
    <row r="568" spans="1:10" x14ac:dyDescent="0.25">
      <c r="A568" s="461"/>
      <c r="B568" s="462"/>
      <c r="C568" s="462"/>
      <c r="D568" s="462"/>
      <c r="E568" s="462"/>
      <c r="F568" s="462"/>
      <c r="G568" s="462"/>
      <c r="H568" s="462"/>
      <c r="I568" s="462"/>
      <c r="J568" s="463"/>
    </row>
    <row r="569" spans="1:10" x14ac:dyDescent="0.25">
      <c r="A569" s="464"/>
      <c r="B569" s="465"/>
      <c r="C569" s="465"/>
      <c r="D569" s="465"/>
      <c r="E569" s="465"/>
      <c r="F569" s="465"/>
      <c r="G569" s="465"/>
      <c r="H569" s="465"/>
      <c r="I569" s="465"/>
      <c r="J569" s="466"/>
    </row>
    <row r="570" spans="1:10" x14ac:dyDescent="0.25">
      <c r="A570" s="464"/>
      <c r="B570" s="465"/>
      <c r="C570" s="465"/>
      <c r="D570" s="465"/>
      <c r="E570" s="465"/>
      <c r="F570" s="465"/>
      <c r="G570" s="465"/>
      <c r="H570" s="465"/>
      <c r="I570" s="465"/>
      <c r="J570" s="466"/>
    </row>
    <row r="571" spans="1:10" x14ac:dyDescent="0.25">
      <c r="A571" s="464"/>
      <c r="B571" s="465"/>
      <c r="C571" s="465"/>
      <c r="D571" s="465"/>
      <c r="E571" s="465"/>
      <c r="F571" s="465"/>
      <c r="G571" s="465"/>
      <c r="H571" s="465"/>
      <c r="I571" s="465"/>
      <c r="J571" s="466"/>
    </row>
    <row r="572" spans="1:10" x14ac:dyDescent="0.25">
      <c r="A572" s="464"/>
      <c r="B572" s="465"/>
      <c r="C572" s="465"/>
      <c r="D572" s="465"/>
      <c r="E572" s="465"/>
      <c r="F572" s="465"/>
      <c r="G572" s="465"/>
      <c r="H572" s="465"/>
      <c r="I572" s="465"/>
      <c r="J572" s="466"/>
    </row>
    <row r="573" spans="1:10" x14ac:dyDescent="0.25">
      <c r="A573" s="464"/>
      <c r="B573" s="465"/>
      <c r="C573" s="465"/>
      <c r="D573" s="465"/>
      <c r="E573" s="465"/>
      <c r="F573" s="465"/>
      <c r="G573" s="465"/>
      <c r="H573" s="465"/>
      <c r="I573" s="465"/>
      <c r="J573" s="466"/>
    </row>
    <row r="574" spans="1:10" x14ac:dyDescent="0.25">
      <c r="A574" s="464"/>
      <c r="B574" s="465"/>
      <c r="C574" s="465"/>
      <c r="D574" s="465"/>
      <c r="E574" s="465"/>
      <c r="F574" s="465"/>
      <c r="G574" s="465"/>
      <c r="H574" s="465"/>
      <c r="I574" s="465"/>
      <c r="J574" s="466"/>
    </row>
    <row r="575" spans="1:10" x14ac:dyDescent="0.25">
      <c r="A575" s="464"/>
      <c r="B575" s="465"/>
      <c r="C575" s="465"/>
      <c r="D575" s="465"/>
      <c r="E575" s="465"/>
      <c r="F575" s="465"/>
      <c r="G575" s="465"/>
      <c r="H575" s="465"/>
      <c r="I575" s="465"/>
      <c r="J575" s="466"/>
    </row>
    <row r="576" spans="1:10" x14ac:dyDescent="0.25">
      <c r="A576" s="464"/>
      <c r="B576" s="465"/>
      <c r="C576" s="465"/>
      <c r="D576" s="465"/>
      <c r="E576" s="465"/>
      <c r="F576" s="465"/>
      <c r="G576" s="465"/>
      <c r="H576" s="465"/>
      <c r="I576" s="465"/>
      <c r="J576" s="466"/>
    </row>
    <row r="577" spans="1:10" x14ac:dyDescent="0.25">
      <c r="A577" s="464"/>
      <c r="B577" s="465"/>
      <c r="C577" s="465"/>
      <c r="D577" s="465"/>
      <c r="E577" s="465"/>
      <c r="F577" s="465"/>
      <c r="G577" s="465"/>
      <c r="H577" s="465"/>
      <c r="I577" s="465"/>
      <c r="J577" s="466"/>
    </row>
    <row r="578" spans="1:10" x14ac:dyDescent="0.25">
      <c r="A578" s="464"/>
      <c r="B578" s="465"/>
      <c r="C578" s="465"/>
      <c r="D578" s="465"/>
      <c r="E578" s="465"/>
      <c r="F578" s="465"/>
      <c r="G578" s="465"/>
      <c r="H578" s="465"/>
      <c r="I578" s="465"/>
      <c r="J578" s="466"/>
    </row>
    <row r="579" spans="1:10" x14ac:dyDescent="0.25">
      <c r="A579" s="464"/>
      <c r="B579" s="465"/>
      <c r="C579" s="465"/>
      <c r="D579" s="465"/>
      <c r="E579" s="465"/>
      <c r="F579" s="465"/>
      <c r="G579" s="465"/>
      <c r="H579" s="465"/>
      <c r="I579" s="465"/>
      <c r="J579" s="466"/>
    </row>
    <row r="580" spans="1:10" x14ac:dyDescent="0.25">
      <c r="A580" s="464"/>
      <c r="B580" s="465"/>
      <c r="C580" s="465"/>
      <c r="D580" s="465"/>
      <c r="E580" s="465"/>
      <c r="F580" s="465"/>
      <c r="G580" s="465"/>
      <c r="H580" s="465"/>
      <c r="I580" s="465"/>
      <c r="J580" s="466"/>
    </row>
    <row r="581" spans="1:10" x14ac:dyDescent="0.25">
      <c r="A581" s="464"/>
      <c r="B581" s="465"/>
      <c r="C581" s="465"/>
      <c r="D581" s="465"/>
      <c r="E581" s="465"/>
      <c r="F581" s="465"/>
      <c r="G581" s="465"/>
      <c r="H581" s="465"/>
      <c r="I581" s="465"/>
      <c r="J581" s="466"/>
    </row>
    <row r="582" spans="1:10" x14ac:dyDescent="0.25">
      <c r="A582" s="464"/>
      <c r="B582" s="465"/>
      <c r="C582" s="465"/>
      <c r="D582" s="465"/>
      <c r="E582" s="465"/>
      <c r="F582" s="465"/>
      <c r="G582" s="465"/>
      <c r="H582" s="465"/>
      <c r="I582" s="465"/>
      <c r="J582" s="466"/>
    </row>
    <row r="583" spans="1:10" x14ac:dyDescent="0.25">
      <c r="A583" s="464"/>
      <c r="B583" s="465"/>
      <c r="C583" s="465"/>
      <c r="D583" s="465"/>
      <c r="E583" s="465"/>
      <c r="F583" s="465"/>
      <c r="G583" s="465"/>
      <c r="H583" s="465"/>
      <c r="I583" s="465"/>
      <c r="J583" s="466"/>
    </row>
    <row r="584" spans="1:10" x14ac:dyDescent="0.25">
      <c r="A584" s="464"/>
      <c r="B584" s="465"/>
      <c r="C584" s="465"/>
      <c r="D584" s="465"/>
      <c r="E584" s="465"/>
      <c r="F584" s="465"/>
      <c r="G584" s="465"/>
      <c r="H584" s="465"/>
      <c r="I584" s="465"/>
      <c r="J584" s="466"/>
    </row>
    <row r="585" spans="1:10" x14ac:dyDescent="0.25">
      <c r="A585" s="464"/>
      <c r="B585" s="465"/>
      <c r="C585" s="465"/>
      <c r="D585" s="465"/>
      <c r="E585" s="465"/>
      <c r="F585" s="465"/>
      <c r="G585" s="465"/>
      <c r="H585" s="465"/>
      <c r="I585" s="465"/>
      <c r="J585" s="466"/>
    </row>
    <row r="586" spans="1:10" x14ac:dyDescent="0.25">
      <c r="A586" s="464"/>
      <c r="B586" s="465"/>
      <c r="C586" s="465"/>
      <c r="D586" s="465"/>
      <c r="E586" s="465"/>
      <c r="F586" s="465"/>
      <c r="G586" s="465"/>
      <c r="H586" s="465"/>
      <c r="I586" s="465"/>
      <c r="J586" s="466"/>
    </row>
    <row r="587" spans="1:10" x14ac:dyDescent="0.25">
      <c r="A587" s="464"/>
      <c r="B587" s="465"/>
      <c r="C587" s="465"/>
      <c r="D587" s="465"/>
      <c r="E587" s="465"/>
      <c r="F587" s="465"/>
      <c r="G587" s="465"/>
      <c r="H587" s="465"/>
      <c r="I587" s="465"/>
      <c r="J587" s="466"/>
    </row>
    <row r="588" spans="1:10" x14ac:dyDescent="0.25">
      <c r="A588" s="464"/>
      <c r="B588" s="465"/>
      <c r="C588" s="465"/>
      <c r="D588" s="465"/>
      <c r="E588" s="465"/>
      <c r="F588" s="465"/>
      <c r="G588" s="465"/>
      <c r="H588" s="465"/>
      <c r="I588" s="465"/>
      <c r="J588" s="466"/>
    </row>
    <row r="589" spans="1:10" x14ac:dyDescent="0.25">
      <c r="A589" s="464"/>
      <c r="B589" s="465"/>
      <c r="C589" s="465"/>
      <c r="D589" s="465"/>
      <c r="E589" s="465"/>
      <c r="F589" s="465"/>
      <c r="G589" s="465"/>
      <c r="H589" s="465"/>
      <c r="I589" s="465"/>
      <c r="J589" s="466"/>
    </row>
    <row r="590" spans="1:10" x14ac:dyDescent="0.25">
      <c r="A590" s="464"/>
      <c r="B590" s="465"/>
      <c r="C590" s="465"/>
      <c r="D590" s="465"/>
      <c r="E590" s="465"/>
      <c r="F590" s="465"/>
      <c r="G590" s="465"/>
      <c r="H590" s="465"/>
      <c r="I590" s="465"/>
      <c r="J590" s="466"/>
    </row>
    <row r="591" spans="1:10" x14ac:dyDescent="0.25">
      <c r="A591" s="464"/>
      <c r="B591" s="465"/>
      <c r="C591" s="465"/>
      <c r="D591" s="465"/>
      <c r="E591" s="465"/>
      <c r="F591" s="465"/>
      <c r="G591" s="465"/>
      <c r="H591" s="465"/>
      <c r="I591" s="465"/>
      <c r="J591" s="466"/>
    </row>
    <row r="592" spans="1:10" x14ac:dyDescent="0.25">
      <c r="A592" s="464"/>
      <c r="B592" s="465"/>
      <c r="C592" s="465"/>
      <c r="D592" s="465"/>
      <c r="E592" s="465"/>
      <c r="F592" s="465"/>
      <c r="G592" s="465"/>
      <c r="H592" s="465"/>
      <c r="I592" s="465"/>
      <c r="J592" s="466"/>
    </row>
    <row r="593" spans="1:10" x14ac:dyDescent="0.25">
      <c r="A593" s="464"/>
      <c r="B593" s="465"/>
      <c r="C593" s="465"/>
      <c r="D593" s="465"/>
      <c r="E593" s="465"/>
      <c r="F593" s="465"/>
      <c r="G593" s="465"/>
      <c r="H593" s="465"/>
      <c r="I593" s="465"/>
      <c r="J593" s="466"/>
    </row>
    <row r="594" spans="1:10" x14ac:dyDescent="0.25">
      <c r="A594" s="464"/>
      <c r="B594" s="465"/>
      <c r="C594" s="465"/>
      <c r="D594" s="465"/>
      <c r="E594" s="465"/>
      <c r="F594" s="465"/>
      <c r="G594" s="465"/>
      <c r="H594" s="465"/>
      <c r="I594" s="465"/>
      <c r="J594" s="466"/>
    </row>
    <row r="595" spans="1:10" x14ac:dyDescent="0.25">
      <c r="A595" s="464"/>
      <c r="B595" s="465"/>
      <c r="C595" s="465"/>
      <c r="D595" s="465"/>
      <c r="E595" s="465"/>
      <c r="F595" s="465"/>
      <c r="G595" s="465"/>
      <c r="H595" s="465"/>
      <c r="I595" s="465"/>
      <c r="J595" s="466"/>
    </row>
    <row r="596" spans="1:10" x14ac:dyDescent="0.25">
      <c r="A596" s="464"/>
      <c r="B596" s="465"/>
      <c r="C596" s="465"/>
      <c r="D596" s="465"/>
      <c r="E596" s="465"/>
      <c r="F596" s="465"/>
      <c r="G596" s="465"/>
      <c r="H596" s="465"/>
      <c r="I596" s="465"/>
      <c r="J596" s="466"/>
    </row>
    <row r="597" spans="1:10" x14ac:dyDescent="0.25">
      <c r="A597" s="464"/>
      <c r="B597" s="465"/>
      <c r="C597" s="465"/>
      <c r="D597" s="465"/>
      <c r="E597" s="465"/>
      <c r="F597" s="465"/>
      <c r="G597" s="465"/>
      <c r="H597" s="465"/>
      <c r="I597" s="465"/>
      <c r="J597" s="466"/>
    </row>
    <row r="598" spans="1:10" x14ac:dyDescent="0.25">
      <c r="A598" s="467"/>
      <c r="B598" s="468"/>
      <c r="C598" s="468"/>
      <c r="D598" s="468"/>
      <c r="E598" s="468"/>
      <c r="F598" s="468"/>
      <c r="G598" s="468"/>
      <c r="H598" s="468"/>
      <c r="I598" s="468"/>
      <c r="J598" s="469"/>
    </row>
    <row r="599" spans="1:10" x14ac:dyDescent="0.25">
      <c r="A599" s="187"/>
      <c r="B599" s="187"/>
      <c r="C599" s="187"/>
      <c r="D599" s="187"/>
      <c r="E599" s="187"/>
      <c r="F599" s="187"/>
      <c r="G599" s="187"/>
      <c r="H599" s="187"/>
      <c r="I599" s="187"/>
      <c r="J599" s="187"/>
    </row>
    <row r="600" spans="1:10" ht="15.6" x14ac:dyDescent="0.3">
      <c r="A600" s="351" t="s">
        <v>848</v>
      </c>
      <c r="B600" s="352"/>
      <c r="C600" s="352"/>
      <c r="D600" s="352"/>
      <c r="E600" s="352"/>
      <c r="F600" s="352"/>
      <c r="G600" s="352"/>
      <c r="H600" s="349" t="str">
        <f>'CONTACT INFORMATION'!$A$24</f>
        <v>Fresno</v>
      </c>
      <c r="I600" s="349"/>
      <c r="J600" s="350"/>
    </row>
    <row r="601" spans="1:10" ht="15.6" x14ac:dyDescent="0.3">
      <c r="A601" s="57"/>
      <c r="B601" s="57"/>
      <c r="C601" s="57"/>
      <c r="D601" s="57"/>
      <c r="E601" s="57"/>
      <c r="F601" s="57"/>
      <c r="G601" s="57"/>
      <c r="H601" s="57"/>
      <c r="I601" s="57"/>
      <c r="J601" s="57"/>
    </row>
    <row r="602" spans="1:10" ht="13.8" x14ac:dyDescent="0.25">
      <c r="A602" s="458" t="s">
        <v>908</v>
      </c>
      <c r="B602" s="459"/>
      <c r="C602" s="459"/>
      <c r="D602" s="459"/>
      <c r="E602" s="459"/>
      <c r="F602" s="459"/>
      <c r="G602" s="459"/>
      <c r="H602" s="459"/>
      <c r="I602" s="459"/>
      <c r="J602" s="460"/>
    </row>
    <row r="603" spans="1:10" x14ac:dyDescent="0.25">
      <c r="A603" s="455" t="s">
        <v>854</v>
      </c>
      <c r="B603" s="456"/>
      <c r="C603" s="456"/>
      <c r="D603" s="457"/>
      <c r="E603" s="527"/>
      <c r="F603" s="528"/>
      <c r="G603" s="528"/>
      <c r="H603" s="528"/>
      <c r="I603" s="528"/>
      <c r="J603" s="529"/>
    </row>
    <row r="604" spans="1:10" x14ac:dyDescent="0.25">
      <c r="A604" s="495" t="s">
        <v>853</v>
      </c>
      <c r="B604" s="496"/>
      <c r="C604" s="496"/>
      <c r="D604" s="497"/>
      <c r="E604" s="530"/>
      <c r="F604" s="531"/>
      <c r="G604" s="531"/>
      <c r="H604" s="531"/>
      <c r="I604" s="531"/>
      <c r="J604" s="532"/>
    </row>
    <row r="605" spans="1:10" x14ac:dyDescent="0.25">
      <c r="A605" s="498" t="s">
        <v>808</v>
      </c>
      <c r="B605" s="499"/>
      <c r="C605" s="499"/>
      <c r="D605" s="499"/>
      <c r="E605" s="471"/>
      <c r="F605" s="472"/>
      <c r="G605" s="472"/>
      <c r="H605" s="472"/>
      <c r="I605" s="472"/>
      <c r="J605" s="473"/>
    </row>
    <row r="606" spans="1:10" x14ac:dyDescent="0.25">
      <c r="A606" s="58"/>
      <c r="B606" s="59"/>
      <c r="C606" s="59"/>
      <c r="D606" s="59"/>
      <c r="E606" s="569" t="s">
        <v>535</v>
      </c>
      <c r="F606" s="475"/>
      <c r="G606" s="569" t="s">
        <v>533</v>
      </c>
      <c r="H606" s="475"/>
      <c r="I606" s="476" t="s">
        <v>849</v>
      </c>
      <c r="J606" s="477"/>
    </row>
    <row r="607" spans="1:10" x14ac:dyDescent="0.25">
      <c r="A607" s="502" t="s">
        <v>527</v>
      </c>
      <c r="B607" s="502"/>
      <c r="C607" s="502"/>
      <c r="D607" s="502"/>
      <c r="E607" s="449"/>
      <c r="F607" s="449"/>
      <c r="G607" s="449"/>
      <c r="H607" s="449"/>
      <c r="I607" s="450"/>
      <c r="J607" s="450"/>
    </row>
    <row r="608" spans="1:10" x14ac:dyDescent="0.25">
      <c r="A608" s="503" t="s">
        <v>528</v>
      </c>
      <c r="B608" s="503"/>
      <c r="C608" s="503"/>
      <c r="D608" s="503"/>
      <c r="E608" s="432"/>
      <c r="F608" s="432"/>
      <c r="G608" s="433"/>
      <c r="H608" s="433"/>
      <c r="I608" s="448"/>
      <c r="J608" s="448"/>
    </row>
    <row r="609" spans="1:10" x14ac:dyDescent="0.25">
      <c r="A609" s="502" t="s">
        <v>529</v>
      </c>
      <c r="B609" s="502"/>
      <c r="C609" s="502"/>
      <c r="D609" s="502"/>
      <c r="E609" s="449"/>
      <c r="F609" s="449"/>
      <c r="G609" s="449"/>
      <c r="H609" s="449"/>
      <c r="I609" s="450"/>
      <c r="J609" s="450"/>
    </row>
    <row r="610" spans="1:10" x14ac:dyDescent="0.25">
      <c r="A610" s="503" t="s">
        <v>530</v>
      </c>
      <c r="B610" s="503"/>
      <c r="C610" s="503"/>
      <c r="D610" s="503"/>
      <c r="E610" s="432"/>
      <c r="F610" s="432"/>
      <c r="G610" s="433"/>
      <c r="H610" s="433"/>
      <c r="I610" s="448"/>
      <c r="J610" s="448"/>
    </row>
    <row r="611" spans="1:10" x14ac:dyDescent="0.25">
      <c r="A611" s="502" t="s">
        <v>531</v>
      </c>
      <c r="B611" s="502"/>
      <c r="C611" s="502"/>
      <c r="D611" s="502"/>
      <c r="E611" s="449"/>
      <c r="F611" s="449"/>
      <c r="G611" s="449"/>
      <c r="H611" s="449"/>
      <c r="I611" s="450"/>
      <c r="J611" s="450"/>
    </row>
    <row r="612" spans="1:10" x14ac:dyDescent="0.25">
      <c r="A612" s="503" t="s">
        <v>532</v>
      </c>
      <c r="B612" s="503"/>
      <c r="C612" s="503"/>
      <c r="D612" s="503"/>
      <c r="E612" s="432"/>
      <c r="F612" s="432"/>
      <c r="G612" s="433"/>
      <c r="H612" s="433"/>
      <c r="I612" s="448"/>
      <c r="J612" s="448"/>
    </row>
    <row r="613" spans="1:10" x14ac:dyDescent="0.25">
      <c r="A613" s="502" t="s">
        <v>537</v>
      </c>
      <c r="B613" s="502"/>
      <c r="C613" s="502"/>
      <c r="D613" s="502"/>
      <c r="E613" s="444"/>
      <c r="F613" s="444"/>
      <c r="G613" s="444"/>
      <c r="H613" s="444"/>
      <c r="I613" s="438"/>
      <c r="J613" s="438"/>
    </row>
    <row r="614" spans="1:10" x14ac:dyDescent="0.25">
      <c r="A614" s="429"/>
      <c r="B614" s="430"/>
      <c r="C614" s="430"/>
      <c r="D614" s="431"/>
      <c r="E614" s="432"/>
      <c r="F614" s="432"/>
      <c r="G614" s="433"/>
      <c r="H614" s="433"/>
      <c r="I614" s="433"/>
      <c r="J614" s="433"/>
    </row>
    <row r="615" spans="1:10" x14ac:dyDescent="0.25">
      <c r="A615" s="429"/>
      <c r="B615" s="430"/>
      <c r="C615" s="430"/>
      <c r="D615" s="431"/>
      <c r="E615" s="432"/>
      <c r="F615" s="432"/>
      <c r="G615" s="433"/>
      <c r="H615" s="433"/>
      <c r="I615" s="433"/>
      <c r="J615" s="433"/>
    </row>
    <row r="616" spans="1:10" x14ac:dyDescent="0.25">
      <c r="A616" s="429"/>
      <c r="B616" s="430"/>
      <c r="C616" s="430"/>
      <c r="D616" s="431"/>
      <c r="E616" s="432"/>
      <c r="F616" s="432"/>
      <c r="G616" s="433"/>
      <c r="H616" s="433"/>
      <c r="I616" s="433"/>
      <c r="J616" s="433"/>
    </row>
    <row r="617" spans="1:10" x14ac:dyDescent="0.25">
      <c r="A617" s="470" t="s">
        <v>534</v>
      </c>
      <c r="B617" s="470"/>
      <c r="C617" s="470"/>
      <c r="D617" s="470"/>
      <c r="E617" s="437">
        <f>SUM(E607:E616)</f>
        <v>0</v>
      </c>
      <c r="F617" s="437"/>
      <c r="G617" s="437">
        <f>SUM(G607:G616)</f>
        <v>0</v>
      </c>
      <c r="H617" s="437"/>
      <c r="I617" s="437">
        <f>SUM(I607:I616)</f>
        <v>0</v>
      </c>
      <c r="J617" s="437"/>
    </row>
    <row r="618" spans="1:10" x14ac:dyDescent="0.25">
      <c r="A618" s="486" t="s">
        <v>861</v>
      </c>
      <c r="B618" s="487"/>
      <c r="C618" s="487"/>
      <c r="D618" s="487"/>
      <c r="E618" s="487"/>
      <c r="F618" s="487"/>
      <c r="G618" s="487"/>
      <c r="H618" s="487"/>
      <c r="I618" s="487"/>
      <c r="J618" s="488"/>
    </row>
    <row r="619" spans="1:10" x14ac:dyDescent="0.25">
      <c r="A619" s="489" t="s">
        <v>862</v>
      </c>
      <c r="B619" s="490"/>
      <c r="C619" s="490"/>
      <c r="D619" s="490"/>
      <c r="E619" s="490"/>
      <c r="F619" s="490"/>
      <c r="G619" s="490"/>
      <c r="H619" s="490"/>
      <c r="I619" s="490"/>
      <c r="J619" s="491"/>
    </row>
    <row r="620" spans="1:10" x14ac:dyDescent="0.25">
      <c r="A620" s="489" t="s">
        <v>863</v>
      </c>
      <c r="B620" s="490"/>
      <c r="C620" s="490"/>
      <c r="D620" s="490"/>
      <c r="E620" s="490"/>
      <c r="F620" s="490"/>
      <c r="G620" s="490"/>
      <c r="H620" s="490"/>
      <c r="I620" s="490"/>
      <c r="J620" s="491"/>
    </row>
    <row r="621" spans="1:10" x14ac:dyDescent="0.25">
      <c r="A621" s="492" t="s">
        <v>864</v>
      </c>
      <c r="B621" s="493"/>
      <c r="C621" s="493"/>
      <c r="D621" s="493"/>
      <c r="E621" s="493"/>
      <c r="F621" s="493"/>
      <c r="G621" s="493"/>
      <c r="H621" s="493"/>
      <c r="I621" s="493"/>
      <c r="J621" s="494"/>
    </row>
    <row r="622" spans="1:10" x14ac:dyDescent="0.25">
      <c r="A622" s="461"/>
      <c r="B622" s="462"/>
      <c r="C622" s="462"/>
      <c r="D622" s="462"/>
      <c r="E622" s="462"/>
      <c r="F622" s="462"/>
      <c r="G622" s="462"/>
      <c r="H622" s="462"/>
      <c r="I622" s="462"/>
      <c r="J622" s="463"/>
    </row>
    <row r="623" spans="1:10" x14ac:dyDescent="0.25">
      <c r="A623" s="464"/>
      <c r="B623" s="465"/>
      <c r="C623" s="465"/>
      <c r="D623" s="465"/>
      <c r="E623" s="465"/>
      <c r="F623" s="465"/>
      <c r="G623" s="465"/>
      <c r="H623" s="465"/>
      <c r="I623" s="465"/>
      <c r="J623" s="466"/>
    </row>
    <row r="624" spans="1:10" x14ac:dyDescent="0.25">
      <c r="A624" s="464"/>
      <c r="B624" s="465"/>
      <c r="C624" s="465"/>
      <c r="D624" s="465"/>
      <c r="E624" s="465"/>
      <c r="F624" s="465"/>
      <c r="G624" s="465"/>
      <c r="H624" s="465"/>
      <c r="I624" s="465"/>
      <c r="J624" s="466"/>
    </row>
    <row r="625" spans="1:10" x14ac:dyDescent="0.25">
      <c r="A625" s="464"/>
      <c r="B625" s="465"/>
      <c r="C625" s="465"/>
      <c r="D625" s="465"/>
      <c r="E625" s="465"/>
      <c r="F625" s="465"/>
      <c r="G625" s="465"/>
      <c r="H625" s="465"/>
      <c r="I625" s="465"/>
      <c r="J625" s="466"/>
    </row>
    <row r="626" spans="1:10" x14ac:dyDescent="0.25">
      <c r="A626" s="464"/>
      <c r="B626" s="465"/>
      <c r="C626" s="465"/>
      <c r="D626" s="465"/>
      <c r="E626" s="465"/>
      <c r="F626" s="465"/>
      <c r="G626" s="465"/>
      <c r="H626" s="465"/>
      <c r="I626" s="465"/>
      <c r="J626" s="466"/>
    </row>
    <row r="627" spans="1:10" x14ac:dyDescent="0.25">
      <c r="A627" s="464"/>
      <c r="B627" s="465"/>
      <c r="C627" s="465"/>
      <c r="D627" s="465"/>
      <c r="E627" s="465"/>
      <c r="F627" s="465"/>
      <c r="G627" s="465"/>
      <c r="H627" s="465"/>
      <c r="I627" s="465"/>
      <c r="J627" s="466"/>
    </row>
    <row r="628" spans="1:10" x14ac:dyDescent="0.25">
      <c r="A628" s="464"/>
      <c r="B628" s="465"/>
      <c r="C628" s="465"/>
      <c r="D628" s="465"/>
      <c r="E628" s="465"/>
      <c r="F628" s="465"/>
      <c r="G628" s="465"/>
      <c r="H628" s="465"/>
      <c r="I628" s="465"/>
      <c r="J628" s="466"/>
    </row>
    <row r="629" spans="1:10" x14ac:dyDescent="0.25">
      <c r="A629" s="464"/>
      <c r="B629" s="465"/>
      <c r="C629" s="465"/>
      <c r="D629" s="465"/>
      <c r="E629" s="465"/>
      <c r="F629" s="465"/>
      <c r="G629" s="465"/>
      <c r="H629" s="465"/>
      <c r="I629" s="465"/>
      <c r="J629" s="466"/>
    </row>
    <row r="630" spans="1:10" x14ac:dyDescent="0.25">
      <c r="A630" s="464"/>
      <c r="B630" s="465"/>
      <c r="C630" s="465"/>
      <c r="D630" s="465"/>
      <c r="E630" s="465"/>
      <c r="F630" s="465"/>
      <c r="G630" s="465"/>
      <c r="H630" s="465"/>
      <c r="I630" s="465"/>
      <c r="J630" s="466"/>
    </row>
    <row r="631" spans="1:10" x14ac:dyDescent="0.25">
      <c r="A631" s="464"/>
      <c r="B631" s="465"/>
      <c r="C631" s="465"/>
      <c r="D631" s="465"/>
      <c r="E631" s="465"/>
      <c r="F631" s="465"/>
      <c r="G631" s="465"/>
      <c r="H631" s="465"/>
      <c r="I631" s="465"/>
      <c r="J631" s="466"/>
    </row>
    <row r="632" spans="1:10" x14ac:dyDescent="0.25">
      <c r="A632" s="464"/>
      <c r="B632" s="465"/>
      <c r="C632" s="465"/>
      <c r="D632" s="465"/>
      <c r="E632" s="465"/>
      <c r="F632" s="465"/>
      <c r="G632" s="465"/>
      <c r="H632" s="465"/>
      <c r="I632" s="465"/>
      <c r="J632" s="466"/>
    </row>
    <row r="633" spans="1:10" x14ac:dyDescent="0.25">
      <c r="A633" s="464"/>
      <c r="B633" s="465"/>
      <c r="C633" s="465"/>
      <c r="D633" s="465"/>
      <c r="E633" s="465"/>
      <c r="F633" s="465"/>
      <c r="G633" s="465"/>
      <c r="H633" s="465"/>
      <c r="I633" s="465"/>
      <c r="J633" s="466"/>
    </row>
    <row r="634" spans="1:10" x14ac:dyDescent="0.25">
      <c r="A634" s="464"/>
      <c r="B634" s="465"/>
      <c r="C634" s="465"/>
      <c r="D634" s="465"/>
      <c r="E634" s="465"/>
      <c r="F634" s="465"/>
      <c r="G634" s="465"/>
      <c r="H634" s="465"/>
      <c r="I634" s="465"/>
      <c r="J634" s="466"/>
    </row>
    <row r="635" spans="1:10" x14ac:dyDescent="0.25">
      <c r="A635" s="464"/>
      <c r="B635" s="465"/>
      <c r="C635" s="465"/>
      <c r="D635" s="465"/>
      <c r="E635" s="465"/>
      <c r="F635" s="465"/>
      <c r="G635" s="465"/>
      <c r="H635" s="465"/>
      <c r="I635" s="465"/>
      <c r="J635" s="466"/>
    </row>
    <row r="636" spans="1:10" x14ac:dyDescent="0.25">
      <c r="A636" s="464"/>
      <c r="B636" s="465"/>
      <c r="C636" s="465"/>
      <c r="D636" s="465"/>
      <c r="E636" s="465"/>
      <c r="F636" s="465"/>
      <c r="G636" s="465"/>
      <c r="H636" s="465"/>
      <c r="I636" s="465"/>
      <c r="J636" s="466"/>
    </row>
    <row r="637" spans="1:10" x14ac:dyDescent="0.25">
      <c r="A637" s="464"/>
      <c r="B637" s="465"/>
      <c r="C637" s="465"/>
      <c r="D637" s="465"/>
      <c r="E637" s="465"/>
      <c r="F637" s="465"/>
      <c r="G637" s="465"/>
      <c r="H637" s="465"/>
      <c r="I637" s="465"/>
      <c r="J637" s="466"/>
    </row>
    <row r="638" spans="1:10" x14ac:dyDescent="0.25">
      <c r="A638" s="464"/>
      <c r="B638" s="465"/>
      <c r="C638" s="465"/>
      <c r="D638" s="465"/>
      <c r="E638" s="465"/>
      <c r="F638" s="465"/>
      <c r="G638" s="465"/>
      <c r="H638" s="465"/>
      <c r="I638" s="465"/>
      <c r="J638" s="466"/>
    </row>
    <row r="639" spans="1:10" x14ac:dyDescent="0.25">
      <c r="A639" s="464"/>
      <c r="B639" s="465"/>
      <c r="C639" s="465"/>
      <c r="D639" s="465"/>
      <c r="E639" s="465"/>
      <c r="F639" s="465"/>
      <c r="G639" s="465"/>
      <c r="H639" s="465"/>
      <c r="I639" s="465"/>
      <c r="J639" s="466"/>
    </row>
    <row r="640" spans="1:10" x14ac:dyDescent="0.25">
      <c r="A640" s="464"/>
      <c r="B640" s="465"/>
      <c r="C640" s="465"/>
      <c r="D640" s="465"/>
      <c r="E640" s="465"/>
      <c r="F640" s="465"/>
      <c r="G640" s="465"/>
      <c r="H640" s="465"/>
      <c r="I640" s="465"/>
      <c r="J640" s="466"/>
    </row>
    <row r="641" spans="1:10" x14ac:dyDescent="0.25">
      <c r="A641" s="464"/>
      <c r="B641" s="465"/>
      <c r="C641" s="465"/>
      <c r="D641" s="465"/>
      <c r="E641" s="465"/>
      <c r="F641" s="465"/>
      <c r="G641" s="465"/>
      <c r="H641" s="465"/>
      <c r="I641" s="465"/>
      <c r="J641" s="466"/>
    </row>
    <row r="642" spans="1:10" x14ac:dyDescent="0.25">
      <c r="A642" s="464"/>
      <c r="B642" s="465"/>
      <c r="C642" s="465"/>
      <c r="D642" s="465"/>
      <c r="E642" s="465"/>
      <c r="F642" s="465"/>
      <c r="G642" s="465"/>
      <c r="H642" s="465"/>
      <c r="I642" s="465"/>
      <c r="J642" s="466"/>
    </row>
    <row r="643" spans="1:10" x14ac:dyDescent="0.25">
      <c r="A643" s="464"/>
      <c r="B643" s="465"/>
      <c r="C643" s="465"/>
      <c r="D643" s="465"/>
      <c r="E643" s="465"/>
      <c r="F643" s="465"/>
      <c r="G643" s="465"/>
      <c r="H643" s="465"/>
      <c r="I643" s="465"/>
      <c r="J643" s="466"/>
    </row>
    <row r="644" spans="1:10" x14ac:dyDescent="0.25">
      <c r="A644" s="464"/>
      <c r="B644" s="465"/>
      <c r="C644" s="465"/>
      <c r="D644" s="465"/>
      <c r="E644" s="465"/>
      <c r="F644" s="465"/>
      <c r="G644" s="465"/>
      <c r="H644" s="465"/>
      <c r="I644" s="465"/>
      <c r="J644" s="466"/>
    </row>
    <row r="645" spans="1:10" x14ac:dyDescent="0.25">
      <c r="A645" s="464"/>
      <c r="B645" s="465"/>
      <c r="C645" s="465"/>
      <c r="D645" s="465"/>
      <c r="E645" s="465"/>
      <c r="F645" s="465"/>
      <c r="G645" s="465"/>
      <c r="H645" s="465"/>
      <c r="I645" s="465"/>
      <c r="J645" s="466"/>
    </row>
    <row r="646" spans="1:10" x14ac:dyDescent="0.25">
      <c r="A646" s="464"/>
      <c r="B646" s="465"/>
      <c r="C646" s="465"/>
      <c r="D646" s="465"/>
      <c r="E646" s="465"/>
      <c r="F646" s="465"/>
      <c r="G646" s="465"/>
      <c r="H646" s="465"/>
      <c r="I646" s="465"/>
      <c r="J646" s="466"/>
    </row>
    <row r="647" spans="1:10" x14ac:dyDescent="0.25">
      <c r="A647" s="464"/>
      <c r="B647" s="465"/>
      <c r="C647" s="465"/>
      <c r="D647" s="465"/>
      <c r="E647" s="465"/>
      <c r="F647" s="465"/>
      <c r="G647" s="465"/>
      <c r="H647" s="465"/>
      <c r="I647" s="465"/>
      <c r="J647" s="466"/>
    </row>
    <row r="648" spans="1:10" x14ac:dyDescent="0.25">
      <c r="A648" s="464"/>
      <c r="B648" s="465"/>
      <c r="C648" s="465"/>
      <c r="D648" s="465"/>
      <c r="E648" s="465"/>
      <c r="F648" s="465"/>
      <c r="G648" s="465"/>
      <c r="H648" s="465"/>
      <c r="I648" s="465"/>
      <c r="J648" s="466"/>
    </row>
    <row r="649" spans="1:10" x14ac:dyDescent="0.25">
      <c r="A649" s="464"/>
      <c r="B649" s="465"/>
      <c r="C649" s="465"/>
      <c r="D649" s="465"/>
      <c r="E649" s="465"/>
      <c r="F649" s="465"/>
      <c r="G649" s="465"/>
      <c r="H649" s="465"/>
      <c r="I649" s="465"/>
      <c r="J649" s="466"/>
    </row>
    <row r="650" spans="1:10" x14ac:dyDescent="0.25">
      <c r="A650" s="464"/>
      <c r="B650" s="465"/>
      <c r="C650" s="465"/>
      <c r="D650" s="465"/>
      <c r="E650" s="465"/>
      <c r="F650" s="465"/>
      <c r="G650" s="465"/>
      <c r="H650" s="465"/>
      <c r="I650" s="465"/>
      <c r="J650" s="466"/>
    </row>
    <row r="651" spans="1:10" x14ac:dyDescent="0.25">
      <c r="A651" s="464"/>
      <c r="B651" s="465"/>
      <c r="C651" s="465"/>
      <c r="D651" s="465"/>
      <c r="E651" s="465"/>
      <c r="F651" s="465"/>
      <c r="G651" s="465"/>
      <c r="H651" s="465"/>
      <c r="I651" s="465"/>
      <c r="J651" s="466"/>
    </row>
    <row r="652" spans="1:10" x14ac:dyDescent="0.25">
      <c r="A652" s="467"/>
      <c r="B652" s="468"/>
      <c r="C652" s="468"/>
      <c r="D652" s="468"/>
      <c r="E652" s="468"/>
      <c r="F652" s="468"/>
      <c r="G652" s="468"/>
      <c r="H652" s="468"/>
      <c r="I652" s="468"/>
      <c r="J652" s="469"/>
    </row>
    <row r="653" spans="1:10" x14ac:dyDescent="0.25">
      <c r="A653" s="187"/>
      <c r="B653" s="187"/>
      <c r="C653" s="187"/>
      <c r="D653" s="187"/>
      <c r="E653" s="187"/>
      <c r="F653" s="187"/>
      <c r="G653" s="187"/>
      <c r="H653" s="187"/>
      <c r="I653" s="187"/>
      <c r="J653" s="187"/>
    </row>
    <row r="654" spans="1:10" ht="15.6" x14ac:dyDescent="0.3">
      <c r="A654" s="351" t="s">
        <v>848</v>
      </c>
      <c r="B654" s="352"/>
      <c r="C654" s="352"/>
      <c r="D654" s="352"/>
      <c r="E654" s="352"/>
      <c r="F654" s="352"/>
      <c r="G654" s="352"/>
      <c r="H654" s="349" t="str">
        <f>'CONTACT INFORMATION'!$A$24</f>
        <v>Fresno</v>
      </c>
      <c r="I654" s="349"/>
      <c r="J654" s="350"/>
    </row>
    <row r="655" spans="1:10" ht="15.6" x14ac:dyDescent="0.3">
      <c r="A655" s="57"/>
      <c r="B655" s="57"/>
      <c r="C655" s="57"/>
      <c r="D655" s="57"/>
      <c r="E655" s="57"/>
      <c r="F655" s="57"/>
      <c r="G655" s="57"/>
      <c r="H655" s="57"/>
      <c r="I655" s="57"/>
      <c r="J655" s="57"/>
    </row>
    <row r="656" spans="1:10" ht="13.8" x14ac:dyDescent="0.25">
      <c r="A656" s="458" t="s">
        <v>909</v>
      </c>
      <c r="B656" s="459"/>
      <c r="C656" s="459"/>
      <c r="D656" s="459"/>
      <c r="E656" s="459"/>
      <c r="F656" s="459"/>
      <c r="G656" s="459"/>
      <c r="H656" s="459"/>
      <c r="I656" s="459"/>
      <c r="J656" s="460"/>
    </row>
    <row r="657" spans="1:10" x14ac:dyDescent="0.25">
      <c r="A657" s="455" t="s">
        <v>854</v>
      </c>
      <c r="B657" s="456"/>
      <c r="C657" s="456"/>
      <c r="D657" s="457"/>
      <c r="E657" s="527"/>
      <c r="F657" s="528"/>
      <c r="G657" s="528"/>
      <c r="H657" s="528"/>
      <c r="I657" s="528"/>
      <c r="J657" s="529"/>
    </row>
    <row r="658" spans="1:10" x14ac:dyDescent="0.25">
      <c r="A658" s="495" t="s">
        <v>853</v>
      </c>
      <c r="B658" s="496"/>
      <c r="C658" s="496"/>
      <c r="D658" s="497"/>
      <c r="E658" s="530"/>
      <c r="F658" s="531"/>
      <c r="G658" s="531"/>
      <c r="H658" s="531"/>
      <c r="I658" s="531"/>
      <c r="J658" s="532"/>
    </row>
    <row r="659" spans="1:10" x14ac:dyDescent="0.25">
      <c r="A659" s="498" t="s">
        <v>808</v>
      </c>
      <c r="B659" s="499"/>
      <c r="C659" s="499"/>
      <c r="D659" s="499"/>
      <c r="E659" s="471"/>
      <c r="F659" s="472"/>
      <c r="G659" s="472"/>
      <c r="H659" s="472"/>
      <c r="I659" s="472"/>
      <c r="J659" s="473"/>
    </row>
    <row r="660" spans="1:10" x14ac:dyDescent="0.25">
      <c r="A660" s="58"/>
      <c r="B660" s="59"/>
      <c r="C660" s="59"/>
      <c r="D660" s="59"/>
      <c r="E660" s="569" t="s">
        <v>535</v>
      </c>
      <c r="F660" s="475"/>
      <c r="G660" s="569" t="s">
        <v>533</v>
      </c>
      <c r="H660" s="475"/>
      <c r="I660" s="476" t="s">
        <v>849</v>
      </c>
      <c r="J660" s="477"/>
    </row>
    <row r="661" spans="1:10" x14ac:dyDescent="0.25">
      <c r="A661" s="502" t="s">
        <v>527</v>
      </c>
      <c r="B661" s="502"/>
      <c r="C661" s="502"/>
      <c r="D661" s="502"/>
      <c r="E661" s="449"/>
      <c r="F661" s="449"/>
      <c r="G661" s="449"/>
      <c r="H661" s="449"/>
      <c r="I661" s="450"/>
      <c r="J661" s="450"/>
    </row>
    <row r="662" spans="1:10" x14ac:dyDescent="0.25">
      <c r="A662" s="503" t="s">
        <v>528</v>
      </c>
      <c r="B662" s="503"/>
      <c r="C662" s="503"/>
      <c r="D662" s="503"/>
      <c r="E662" s="432"/>
      <c r="F662" s="432"/>
      <c r="G662" s="433"/>
      <c r="H662" s="433"/>
      <c r="I662" s="448"/>
      <c r="J662" s="448"/>
    </row>
    <row r="663" spans="1:10" x14ac:dyDescent="0.25">
      <c r="A663" s="502" t="s">
        <v>529</v>
      </c>
      <c r="B663" s="502"/>
      <c r="C663" s="502"/>
      <c r="D663" s="502"/>
      <c r="E663" s="449"/>
      <c r="F663" s="449"/>
      <c r="G663" s="449"/>
      <c r="H663" s="449"/>
      <c r="I663" s="450"/>
      <c r="J663" s="450"/>
    </row>
    <row r="664" spans="1:10" x14ac:dyDescent="0.25">
      <c r="A664" s="503" t="s">
        <v>530</v>
      </c>
      <c r="B664" s="503"/>
      <c r="C664" s="503"/>
      <c r="D664" s="503"/>
      <c r="E664" s="432"/>
      <c r="F664" s="432"/>
      <c r="G664" s="433"/>
      <c r="H664" s="433"/>
      <c r="I664" s="448"/>
      <c r="J664" s="448"/>
    </row>
    <row r="665" spans="1:10" x14ac:dyDescent="0.25">
      <c r="A665" s="502" t="s">
        <v>531</v>
      </c>
      <c r="B665" s="502"/>
      <c r="C665" s="502"/>
      <c r="D665" s="502"/>
      <c r="E665" s="449"/>
      <c r="F665" s="449"/>
      <c r="G665" s="449"/>
      <c r="H665" s="449"/>
      <c r="I665" s="450"/>
      <c r="J665" s="450"/>
    </row>
    <row r="666" spans="1:10" x14ac:dyDescent="0.25">
      <c r="A666" s="503" t="s">
        <v>532</v>
      </c>
      <c r="B666" s="503"/>
      <c r="C666" s="503"/>
      <c r="D666" s="503"/>
      <c r="E666" s="432"/>
      <c r="F666" s="432"/>
      <c r="G666" s="433"/>
      <c r="H666" s="433"/>
      <c r="I666" s="448"/>
      <c r="J666" s="448"/>
    </row>
    <row r="667" spans="1:10" x14ac:dyDescent="0.25">
      <c r="A667" s="502" t="s">
        <v>537</v>
      </c>
      <c r="B667" s="502"/>
      <c r="C667" s="502"/>
      <c r="D667" s="502"/>
      <c r="E667" s="444"/>
      <c r="F667" s="444"/>
      <c r="G667" s="444"/>
      <c r="H667" s="444"/>
      <c r="I667" s="438"/>
      <c r="J667" s="438"/>
    </row>
    <row r="668" spans="1:10" x14ac:dyDescent="0.25">
      <c r="A668" s="429"/>
      <c r="B668" s="430"/>
      <c r="C668" s="430"/>
      <c r="D668" s="431"/>
      <c r="E668" s="432"/>
      <c r="F668" s="432"/>
      <c r="G668" s="433"/>
      <c r="H668" s="433"/>
      <c r="I668" s="433"/>
      <c r="J668" s="433"/>
    </row>
    <row r="669" spans="1:10" x14ac:dyDescent="0.25">
      <c r="A669" s="429"/>
      <c r="B669" s="430"/>
      <c r="C669" s="430"/>
      <c r="D669" s="431"/>
      <c r="E669" s="432"/>
      <c r="F669" s="432"/>
      <c r="G669" s="433"/>
      <c r="H669" s="433"/>
      <c r="I669" s="433"/>
      <c r="J669" s="433"/>
    </row>
    <row r="670" spans="1:10" x14ac:dyDescent="0.25">
      <c r="A670" s="429"/>
      <c r="B670" s="430"/>
      <c r="C670" s="430"/>
      <c r="D670" s="431"/>
      <c r="E670" s="432"/>
      <c r="F670" s="432"/>
      <c r="G670" s="433"/>
      <c r="H670" s="433"/>
      <c r="I670" s="433"/>
      <c r="J670" s="433"/>
    </row>
    <row r="671" spans="1:10" x14ac:dyDescent="0.25">
      <c r="A671" s="470" t="s">
        <v>534</v>
      </c>
      <c r="B671" s="470"/>
      <c r="C671" s="470"/>
      <c r="D671" s="470"/>
      <c r="E671" s="437">
        <f>SUM(E661:E670)</f>
        <v>0</v>
      </c>
      <c r="F671" s="437"/>
      <c r="G671" s="437">
        <f>SUM(G661:G670)</f>
        <v>0</v>
      </c>
      <c r="H671" s="437"/>
      <c r="I671" s="437">
        <f>SUM(I661:I670)</f>
        <v>0</v>
      </c>
      <c r="J671" s="437"/>
    </row>
    <row r="672" spans="1:10" x14ac:dyDescent="0.25">
      <c r="A672" s="486" t="s">
        <v>861</v>
      </c>
      <c r="B672" s="487"/>
      <c r="C672" s="487"/>
      <c r="D672" s="487"/>
      <c r="E672" s="487"/>
      <c r="F672" s="487"/>
      <c r="G672" s="487"/>
      <c r="H672" s="487"/>
      <c r="I672" s="487"/>
      <c r="J672" s="488"/>
    </row>
    <row r="673" spans="1:10" x14ac:dyDescent="0.25">
      <c r="A673" s="489" t="s">
        <v>862</v>
      </c>
      <c r="B673" s="490"/>
      <c r="C673" s="490"/>
      <c r="D673" s="490"/>
      <c r="E673" s="490"/>
      <c r="F673" s="490"/>
      <c r="G673" s="490"/>
      <c r="H673" s="490"/>
      <c r="I673" s="490"/>
      <c r="J673" s="491"/>
    </row>
    <row r="674" spans="1:10" x14ac:dyDescent="0.25">
      <c r="A674" s="489" t="s">
        <v>863</v>
      </c>
      <c r="B674" s="490"/>
      <c r="C674" s="490"/>
      <c r="D674" s="490"/>
      <c r="E674" s="490"/>
      <c r="F674" s="490"/>
      <c r="G674" s="490"/>
      <c r="H674" s="490"/>
      <c r="I674" s="490"/>
      <c r="J674" s="491"/>
    </row>
    <row r="675" spans="1:10" x14ac:dyDescent="0.25">
      <c r="A675" s="492" t="s">
        <v>864</v>
      </c>
      <c r="B675" s="493"/>
      <c r="C675" s="493"/>
      <c r="D675" s="493"/>
      <c r="E675" s="493"/>
      <c r="F675" s="493"/>
      <c r="G675" s="493"/>
      <c r="H675" s="493"/>
      <c r="I675" s="493"/>
      <c r="J675" s="494"/>
    </row>
    <row r="676" spans="1:10" x14ac:dyDescent="0.25">
      <c r="A676" s="461"/>
      <c r="B676" s="462"/>
      <c r="C676" s="462"/>
      <c r="D676" s="462"/>
      <c r="E676" s="462"/>
      <c r="F676" s="462"/>
      <c r="G676" s="462"/>
      <c r="H676" s="462"/>
      <c r="I676" s="462"/>
      <c r="J676" s="463"/>
    </row>
    <row r="677" spans="1:10" x14ac:dyDescent="0.25">
      <c r="A677" s="464"/>
      <c r="B677" s="465"/>
      <c r="C677" s="465"/>
      <c r="D677" s="465"/>
      <c r="E677" s="465"/>
      <c r="F677" s="465"/>
      <c r="G677" s="465"/>
      <c r="H677" s="465"/>
      <c r="I677" s="465"/>
      <c r="J677" s="466"/>
    </row>
    <row r="678" spans="1:10" x14ac:dyDescent="0.25">
      <c r="A678" s="464"/>
      <c r="B678" s="465"/>
      <c r="C678" s="465"/>
      <c r="D678" s="465"/>
      <c r="E678" s="465"/>
      <c r="F678" s="465"/>
      <c r="G678" s="465"/>
      <c r="H678" s="465"/>
      <c r="I678" s="465"/>
      <c r="J678" s="466"/>
    </row>
    <row r="679" spans="1:10" x14ac:dyDescent="0.25">
      <c r="A679" s="464"/>
      <c r="B679" s="465"/>
      <c r="C679" s="465"/>
      <c r="D679" s="465"/>
      <c r="E679" s="465"/>
      <c r="F679" s="465"/>
      <c r="G679" s="465"/>
      <c r="H679" s="465"/>
      <c r="I679" s="465"/>
      <c r="J679" s="466"/>
    </row>
    <row r="680" spans="1:10" x14ac:dyDescent="0.25">
      <c r="A680" s="464"/>
      <c r="B680" s="465"/>
      <c r="C680" s="465"/>
      <c r="D680" s="465"/>
      <c r="E680" s="465"/>
      <c r="F680" s="465"/>
      <c r="G680" s="465"/>
      <c r="H680" s="465"/>
      <c r="I680" s="465"/>
      <c r="J680" s="466"/>
    </row>
    <row r="681" spans="1:10" x14ac:dyDescent="0.25">
      <c r="A681" s="464"/>
      <c r="B681" s="465"/>
      <c r="C681" s="465"/>
      <c r="D681" s="465"/>
      <c r="E681" s="465"/>
      <c r="F681" s="465"/>
      <c r="G681" s="465"/>
      <c r="H681" s="465"/>
      <c r="I681" s="465"/>
      <c r="J681" s="466"/>
    </row>
    <row r="682" spans="1:10" x14ac:dyDescent="0.25">
      <c r="A682" s="464"/>
      <c r="B682" s="465"/>
      <c r="C682" s="465"/>
      <c r="D682" s="465"/>
      <c r="E682" s="465"/>
      <c r="F682" s="465"/>
      <c r="G682" s="465"/>
      <c r="H682" s="465"/>
      <c r="I682" s="465"/>
      <c r="J682" s="466"/>
    </row>
    <row r="683" spans="1:10" x14ac:dyDescent="0.25">
      <c r="A683" s="464"/>
      <c r="B683" s="465"/>
      <c r="C683" s="465"/>
      <c r="D683" s="465"/>
      <c r="E683" s="465"/>
      <c r="F683" s="465"/>
      <c r="G683" s="465"/>
      <c r="H683" s="465"/>
      <c r="I683" s="465"/>
      <c r="J683" s="466"/>
    </row>
    <row r="684" spans="1:10" x14ac:dyDescent="0.25">
      <c r="A684" s="464"/>
      <c r="B684" s="465"/>
      <c r="C684" s="465"/>
      <c r="D684" s="465"/>
      <c r="E684" s="465"/>
      <c r="F684" s="465"/>
      <c r="G684" s="465"/>
      <c r="H684" s="465"/>
      <c r="I684" s="465"/>
      <c r="J684" s="466"/>
    </row>
    <row r="685" spans="1:10" x14ac:dyDescent="0.25">
      <c r="A685" s="464"/>
      <c r="B685" s="465"/>
      <c r="C685" s="465"/>
      <c r="D685" s="465"/>
      <c r="E685" s="465"/>
      <c r="F685" s="465"/>
      <c r="G685" s="465"/>
      <c r="H685" s="465"/>
      <c r="I685" s="465"/>
      <c r="J685" s="466"/>
    </row>
    <row r="686" spans="1:10" x14ac:dyDescent="0.25">
      <c r="A686" s="464"/>
      <c r="B686" s="465"/>
      <c r="C686" s="465"/>
      <c r="D686" s="465"/>
      <c r="E686" s="465"/>
      <c r="F686" s="465"/>
      <c r="G686" s="465"/>
      <c r="H686" s="465"/>
      <c r="I686" s="465"/>
      <c r="J686" s="466"/>
    </row>
    <row r="687" spans="1:10" x14ac:dyDescent="0.25">
      <c r="A687" s="464"/>
      <c r="B687" s="465"/>
      <c r="C687" s="465"/>
      <c r="D687" s="465"/>
      <c r="E687" s="465"/>
      <c r="F687" s="465"/>
      <c r="G687" s="465"/>
      <c r="H687" s="465"/>
      <c r="I687" s="465"/>
      <c r="J687" s="466"/>
    </row>
    <row r="688" spans="1:10" x14ac:dyDescent="0.25">
      <c r="A688" s="464"/>
      <c r="B688" s="465"/>
      <c r="C688" s="465"/>
      <c r="D688" s="465"/>
      <c r="E688" s="465"/>
      <c r="F688" s="465"/>
      <c r="G688" s="465"/>
      <c r="H688" s="465"/>
      <c r="I688" s="465"/>
      <c r="J688" s="466"/>
    </row>
    <row r="689" spans="1:10" x14ac:dyDescent="0.25">
      <c r="A689" s="464"/>
      <c r="B689" s="465"/>
      <c r="C689" s="465"/>
      <c r="D689" s="465"/>
      <c r="E689" s="465"/>
      <c r="F689" s="465"/>
      <c r="G689" s="465"/>
      <c r="H689" s="465"/>
      <c r="I689" s="465"/>
      <c r="J689" s="466"/>
    </row>
    <row r="690" spans="1:10" x14ac:dyDescent="0.25">
      <c r="A690" s="464"/>
      <c r="B690" s="465"/>
      <c r="C690" s="465"/>
      <c r="D690" s="465"/>
      <c r="E690" s="465"/>
      <c r="F690" s="465"/>
      <c r="G690" s="465"/>
      <c r="H690" s="465"/>
      <c r="I690" s="465"/>
      <c r="J690" s="466"/>
    </row>
    <row r="691" spans="1:10" x14ac:dyDescent="0.25">
      <c r="A691" s="464"/>
      <c r="B691" s="465"/>
      <c r="C691" s="465"/>
      <c r="D691" s="465"/>
      <c r="E691" s="465"/>
      <c r="F691" s="465"/>
      <c r="G691" s="465"/>
      <c r="H691" s="465"/>
      <c r="I691" s="465"/>
      <c r="J691" s="466"/>
    </row>
    <row r="692" spans="1:10" x14ac:dyDescent="0.25">
      <c r="A692" s="464"/>
      <c r="B692" s="465"/>
      <c r="C692" s="465"/>
      <c r="D692" s="465"/>
      <c r="E692" s="465"/>
      <c r="F692" s="465"/>
      <c r="G692" s="465"/>
      <c r="H692" s="465"/>
      <c r="I692" s="465"/>
      <c r="J692" s="466"/>
    </row>
    <row r="693" spans="1:10" x14ac:dyDescent="0.25">
      <c r="A693" s="464"/>
      <c r="B693" s="465"/>
      <c r="C693" s="465"/>
      <c r="D693" s="465"/>
      <c r="E693" s="465"/>
      <c r="F693" s="465"/>
      <c r="G693" s="465"/>
      <c r="H693" s="465"/>
      <c r="I693" s="465"/>
      <c r="J693" s="466"/>
    </row>
    <row r="694" spans="1:10" x14ac:dyDescent="0.25">
      <c r="A694" s="464"/>
      <c r="B694" s="465"/>
      <c r="C694" s="465"/>
      <c r="D694" s="465"/>
      <c r="E694" s="465"/>
      <c r="F694" s="465"/>
      <c r="G694" s="465"/>
      <c r="H694" s="465"/>
      <c r="I694" s="465"/>
      <c r="J694" s="466"/>
    </row>
    <row r="695" spans="1:10" x14ac:dyDescent="0.25">
      <c r="A695" s="464"/>
      <c r="B695" s="465"/>
      <c r="C695" s="465"/>
      <c r="D695" s="465"/>
      <c r="E695" s="465"/>
      <c r="F695" s="465"/>
      <c r="G695" s="465"/>
      <c r="H695" s="465"/>
      <c r="I695" s="465"/>
      <c r="J695" s="466"/>
    </row>
    <row r="696" spans="1:10" x14ac:dyDescent="0.25">
      <c r="A696" s="464"/>
      <c r="B696" s="465"/>
      <c r="C696" s="465"/>
      <c r="D696" s="465"/>
      <c r="E696" s="465"/>
      <c r="F696" s="465"/>
      <c r="G696" s="465"/>
      <c r="H696" s="465"/>
      <c r="I696" s="465"/>
      <c r="J696" s="466"/>
    </row>
    <row r="697" spans="1:10" x14ac:dyDescent="0.25">
      <c r="A697" s="464"/>
      <c r="B697" s="465"/>
      <c r="C697" s="465"/>
      <c r="D697" s="465"/>
      <c r="E697" s="465"/>
      <c r="F697" s="465"/>
      <c r="G697" s="465"/>
      <c r="H697" s="465"/>
      <c r="I697" s="465"/>
      <c r="J697" s="466"/>
    </row>
    <row r="698" spans="1:10" x14ac:dyDescent="0.25">
      <c r="A698" s="464"/>
      <c r="B698" s="465"/>
      <c r="C698" s="465"/>
      <c r="D698" s="465"/>
      <c r="E698" s="465"/>
      <c r="F698" s="465"/>
      <c r="G698" s="465"/>
      <c r="H698" s="465"/>
      <c r="I698" s="465"/>
      <c r="J698" s="466"/>
    </row>
    <row r="699" spans="1:10" x14ac:dyDescent="0.25">
      <c r="A699" s="464"/>
      <c r="B699" s="465"/>
      <c r="C699" s="465"/>
      <c r="D699" s="465"/>
      <c r="E699" s="465"/>
      <c r="F699" s="465"/>
      <c r="G699" s="465"/>
      <c r="H699" s="465"/>
      <c r="I699" s="465"/>
      <c r="J699" s="466"/>
    </row>
    <row r="700" spans="1:10" x14ac:dyDescent="0.25">
      <c r="A700" s="464"/>
      <c r="B700" s="465"/>
      <c r="C700" s="465"/>
      <c r="D700" s="465"/>
      <c r="E700" s="465"/>
      <c r="F700" s="465"/>
      <c r="G700" s="465"/>
      <c r="H700" s="465"/>
      <c r="I700" s="465"/>
      <c r="J700" s="466"/>
    </row>
    <row r="701" spans="1:10" x14ac:dyDescent="0.25">
      <c r="A701" s="464"/>
      <c r="B701" s="465"/>
      <c r="C701" s="465"/>
      <c r="D701" s="465"/>
      <c r="E701" s="465"/>
      <c r="F701" s="465"/>
      <c r="G701" s="465"/>
      <c r="H701" s="465"/>
      <c r="I701" s="465"/>
      <c r="J701" s="466"/>
    </row>
    <row r="702" spans="1:10" x14ac:dyDescent="0.25">
      <c r="A702" s="464"/>
      <c r="B702" s="465"/>
      <c r="C702" s="465"/>
      <c r="D702" s="465"/>
      <c r="E702" s="465"/>
      <c r="F702" s="465"/>
      <c r="G702" s="465"/>
      <c r="H702" s="465"/>
      <c r="I702" s="465"/>
      <c r="J702" s="466"/>
    </row>
    <row r="703" spans="1:10" x14ac:dyDescent="0.25">
      <c r="A703" s="464"/>
      <c r="B703" s="465"/>
      <c r="C703" s="465"/>
      <c r="D703" s="465"/>
      <c r="E703" s="465"/>
      <c r="F703" s="465"/>
      <c r="G703" s="465"/>
      <c r="H703" s="465"/>
      <c r="I703" s="465"/>
      <c r="J703" s="466"/>
    </row>
    <row r="704" spans="1:10" x14ac:dyDescent="0.25">
      <c r="A704" s="464"/>
      <c r="B704" s="465"/>
      <c r="C704" s="465"/>
      <c r="D704" s="465"/>
      <c r="E704" s="465"/>
      <c r="F704" s="465"/>
      <c r="G704" s="465"/>
      <c r="H704" s="465"/>
      <c r="I704" s="465"/>
      <c r="J704" s="466"/>
    </row>
    <row r="705" spans="1:10" x14ac:dyDescent="0.25">
      <c r="A705" s="464"/>
      <c r="B705" s="465"/>
      <c r="C705" s="465"/>
      <c r="D705" s="465"/>
      <c r="E705" s="465"/>
      <c r="F705" s="465"/>
      <c r="G705" s="465"/>
      <c r="H705" s="465"/>
      <c r="I705" s="465"/>
      <c r="J705" s="466"/>
    </row>
    <row r="706" spans="1:10" x14ac:dyDescent="0.25">
      <c r="A706" s="467"/>
      <c r="B706" s="468"/>
      <c r="C706" s="468"/>
      <c r="D706" s="468"/>
      <c r="E706" s="468"/>
      <c r="F706" s="468"/>
      <c r="G706" s="468"/>
      <c r="H706" s="468"/>
      <c r="I706" s="468"/>
      <c r="J706" s="469"/>
    </row>
    <row r="707" spans="1:10" x14ac:dyDescent="0.25">
      <c r="A707" s="46"/>
      <c r="B707" s="46"/>
      <c r="C707" s="46"/>
      <c r="D707" s="46"/>
      <c r="E707" s="46"/>
      <c r="F707" s="46"/>
      <c r="G707" s="46"/>
      <c r="H707" s="46"/>
      <c r="I707" s="46"/>
      <c r="J707" s="46"/>
    </row>
    <row r="708" spans="1:10" ht="15.6" x14ac:dyDescent="0.3">
      <c r="A708" s="351" t="s">
        <v>848</v>
      </c>
      <c r="B708" s="352"/>
      <c r="C708" s="352"/>
      <c r="D708" s="352"/>
      <c r="E708" s="352"/>
      <c r="F708" s="352"/>
      <c r="G708" s="352"/>
      <c r="H708" s="349" t="str">
        <f>'CONTACT INFORMATION'!$A$24</f>
        <v>Fresno</v>
      </c>
      <c r="I708" s="349"/>
      <c r="J708" s="350"/>
    </row>
    <row r="709" spans="1:10" ht="15.6" x14ac:dyDescent="0.3">
      <c r="A709" s="57"/>
      <c r="B709" s="57"/>
      <c r="C709" s="57"/>
      <c r="D709" s="57"/>
      <c r="E709" s="57"/>
      <c r="F709" s="57"/>
      <c r="G709" s="57"/>
      <c r="H709" s="57"/>
      <c r="I709" s="57"/>
      <c r="J709" s="57"/>
    </row>
    <row r="710" spans="1:10" ht="13.8" x14ac:dyDescent="0.25">
      <c r="A710" s="458" t="s">
        <v>910</v>
      </c>
      <c r="B710" s="459"/>
      <c r="C710" s="459"/>
      <c r="D710" s="459"/>
      <c r="E710" s="459"/>
      <c r="F710" s="459"/>
      <c r="G710" s="459"/>
      <c r="H710" s="459"/>
      <c r="I710" s="459"/>
      <c r="J710" s="460"/>
    </row>
    <row r="711" spans="1:10" x14ac:dyDescent="0.25">
      <c r="A711" s="455" t="s">
        <v>854</v>
      </c>
      <c r="B711" s="456"/>
      <c r="C711" s="456"/>
      <c r="D711" s="457"/>
      <c r="E711" s="527"/>
      <c r="F711" s="528"/>
      <c r="G711" s="528"/>
      <c r="H711" s="528"/>
      <c r="I711" s="528"/>
      <c r="J711" s="529"/>
    </row>
    <row r="712" spans="1:10" x14ac:dyDescent="0.25">
      <c r="A712" s="495" t="s">
        <v>853</v>
      </c>
      <c r="B712" s="496"/>
      <c r="C712" s="496"/>
      <c r="D712" s="497"/>
      <c r="E712" s="530"/>
      <c r="F712" s="531"/>
      <c r="G712" s="531"/>
      <c r="H712" s="531"/>
      <c r="I712" s="531"/>
      <c r="J712" s="532"/>
    </row>
    <row r="713" spans="1:10" x14ac:dyDescent="0.25">
      <c r="A713" s="498" t="s">
        <v>808</v>
      </c>
      <c r="B713" s="499"/>
      <c r="C713" s="499"/>
      <c r="D713" s="499"/>
      <c r="E713" s="471"/>
      <c r="F713" s="472"/>
      <c r="G713" s="472"/>
      <c r="H713" s="472"/>
      <c r="I713" s="472"/>
      <c r="J713" s="473"/>
    </row>
    <row r="714" spans="1:10" x14ac:dyDescent="0.25">
      <c r="A714" s="58"/>
      <c r="B714" s="59"/>
      <c r="C714" s="59"/>
      <c r="D714" s="59"/>
      <c r="E714" s="569" t="s">
        <v>535</v>
      </c>
      <c r="F714" s="475"/>
      <c r="G714" s="569" t="s">
        <v>533</v>
      </c>
      <c r="H714" s="475"/>
      <c r="I714" s="476" t="s">
        <v>849</v>
      </c>
      <c r="J714" s="477"/>
    </row>
    <row r="715" spans="1:10" x14ac:dyDescent="0.25">
      <c r="A715" s="502" t="s">
        <v>527</v>
      </c>
      <c r="B715" s="502"/>
      <c r="C715" s="502"/>
      <c r="D715" s="502"/>
      <c r="E715" s="449"/>
      <c r="F715" s="449"/>
      <c r="G715" s="449"/>
      <c r="H715" s="449"/>
      <c r="I715" s="450"/>
      <c r="J715" s="450"/>
    </row>
    <row r="716" spans="1:10" x14ac:dyDescent="0.25">
      <c r="A716" s="503" t="s">
        <v>528</v>
      </c>
      <c r="B716" s="503"/>
      <c r="C716" s="503"/>
      <c r="D716" s="503"/>
      <c r="E716" s="432"/>
      <c r="F716" s="432"/>
      <c r="G716" s="433"/>
      <c r="H716" s="433"/>
      <c r="I716" s="448"/>
      <c r="J716" s="448"/>
    </row>
    <row r="717" spans="1:10" x14ac:dyDescent="0.25">
      <c r="A717" s="502" t="s">
        <v>529</v>
      </c>
      <c r="B717" s="502"/>
      <c r="C717" s="502"/>
      <c r="D717" s="502"/>
      <c r="E717" s="449"/>
      <c r="F717" s="449"/>
      <c r="G717" s="449"/>
      <c r="H717" s="449"/>
      <c r="I717" s="450"/>
      <c r="J717" s="450"/>
    </row>
    <row r="718" spans="1:10" x14ac:dyDescent="0.25">
      <c r="A718" s="503" t="s">
        <v>530</v>
      </c>
      <c r="B718" s="503"/>
      <c r="C718" s="503"/>
      <c r="D718" s="503"/>
      <c r="E718" s="432"/>
      <c r="F718" s="432"/>
      <c r="G718" s="433"/>
      <c r="H718" s="433"/>
      <c r="I718" s="448"/>
      <c r="J718" s="448"/>
    </row>
    <row r="719" spans="1:10" x14ac:dyDescent="0.25">
      <c r="A719" s="502" t="s">
        <v>531</v>
      </c>
      <c r="B719" s="502"/>
      <c r="C719" s="502"/>
      <c r="D719" s="502"/>
      <c r="E719" s="449"/>
      <c r="F719" s="449"/>
      <c r="G719" s="449"/>
      <c r="H719" s="449"/>
      <c r="I719" s="450"/>
      <c r="J719" s="450"/>
    </row>
    <row r="720" spans="1:10" x14ac:dyDescent="0.25">
      <c r="A720" s="503" t="s">
        <v>532</v>
      </c>
      <c r="B720" s="503"/>
      <c r="C720" s="503"/>
      <c r="D720" s="503"/>
      <c r="E720" s="432"/>
      <c r="F720" s="432"/>
      <c r="G720" s="433"/>
      <c r="H720" s="433"/>
      <c r="I720" s="448"/>
      <c r="J720" s="448"/>
    </row>
    <row r="721" spans="1:10" x14ac:dyDescent="0.25">
      <c r="A721" s="502" t="s">
        <v>537</v>
      </c>
      <c r="B721" s="502"/>
      <c r="C721" s="502"/>
      <c r="D721" s="502"/>
      <c r="E721" s="444"/>
      <c r="F721" s="444"/>
      <c r="G721" s="444"/>
      <c r="H721" s="444"/>
      <c r="I721" s="438"/>
      <c r="J721" s="438"/>
    </row>
    <row r="722" spans="1:10" x14ac:dyDescent="0.25">
      <c r="A722" s="429"/>
      <c r="B722" s="430"/>
      <c r="C722" s="430"/>
      <c r="D722" s="431"/>
      <c r="E722" s="432"/>
      <c r="F722" s="432"/>
      <c r="G722" s="433"/>
      <c r="H722" s="433"/>
      <c r="I722" s="433"/>
      <c r="J722" s="433"/>
    </row>
    <row r="723" spans="1:10" x14ac:dyDescent="0.25">
      <c r="A723" s="429"/>
      <c r="B723" s="430"/>
      <c r="C723" s="430"/>
      <c r="D723" s="431"/>
      <c r="E723" s="432"/>
      <c r="F723" s="432"/>
      <c r="G723" s="433"/>
      <c r="H723" s="433"/>
      <c r="I723" s="433"/>
      <c r="J723" s="433"/>
    </row>
    <row r="724" spans="1:10" x14ac:dyDescent="0.25">
      <c r="A724" s="429"/>
      <c r="B724" s="430"/>
      <c r="C724" s="430"/>
      <c r="D724" s="431"/>
      <c r="E724" s="432"/>
      <c r="F724" s="432"/>
      <c r="G724" s="433"/>
      <c r="H724" s="433"/>
      <c r="I724" s="433"/>
      <c r="J724" s="433"/>
    </row>
    <row r="725" spans="1:10" x14ac:dyDescent="0.25">
      <c r="A725" s="470" t="s">
        <v>534</v>
      </c>
      <c r="B725" s="470"/>
      <c r="C725" s="470"/>
      <c r="D725" s="470"/>
      <c r="E725" s="437">
        <f>SUM(E715:E724)</f>
        <v>0</v>
      </c>
      <c r="F725" s="437"/>
      <c r="G725" s="437">
        <f>SUM(G715:G724)</f>
        <v>0</v>
      </c>
      <c r="H725" s="437"/>
      <c r="I725" s="437">
        <f>SUM(I715:I724)</f>
        <v>0</v>
      </c>
      <c r="J725" s="437"/>
    </row>
    <row r="726" spans="1:10" x14ac:dyDescent="0.25">
      <c r="A726" s="486" t="s">
        <v>861</v>
      </c>
      <c r="B726" s="487"/>
      <c r="C726" s="487"/>
      <c r="D726" s="487"/>
      <c r="E726" s="487"/>
      <c r="F726" s="487"/>
      <c r="G726" s="487"/>
      <c r="H726" s="487"/>
      <c r="I726" s="487"/>
      <c r="J726" s="488"/>
    </row>
    <row r="727" spans="1:10" x14ac:dyDescent="0.25">
      <c r="A727" s="489" t="s">
        <v>862</v>
      </c>
      <c r="B727" s="490"/>
      <c r="C727" s="490"/>
      <c r="D727" s="490"/>
      <c r="E727" s="490"/>
      <c r="F727" s="490"/>
      <c r="G727" s="490"/>
      <c r="H727" s="490"/>
      <c r="I727" s="490"/>
      <c r="J727" s="491"/>
    </row>
    <row r="728" spans="1:10" x14ac:dyDescent="0.25">
      <c r="A728" s="489" t="s">
        <v>863</v>
      </c>
      <c r="B728" s="490"/>
      <c r="C728" s="490"/>
      <c r="D728" s="490"/>
      <c r="E728" s="490"/>
      <c r="F728" s="490"/>
      <c r="G728" s="490"/>
      <c r="H728" s="490"/>
      <c r="I728" s="490"/>
      <c r="J728" s="491"/>
    </row>
    <row r="729" spans="1:10" x14ac:dyDescent="0.25">
      <c r="A729" s="492" t="s">
        <v>864</v>
      </c>
      <c r="B729" s="493"/>
      <c r="C729" s="493"/>
      <c r="D729" s="493"/>
      <c r="E729" s="493"/>
      <c r="F729" s="493"/>
      <c r="G729" s="493"/>
      <c r="H729" s="493"/>
      <c r="I729" s="493"/>
      <c r="J729" s="494"/>
    </row>
    <row r="730" spans="1:10" x14ac:dyDescent="0.25">
      <c r="A730" s="461"/>
      <c r="B730" s="462"/>
      <c r="C730" s="462"/>
      <c r="D730" s="462"/>
      <c r="E730" s="462"/>
      <c r="F730" s="462"/>
      <c r="G730" s="462"/>
      <c r="H730" s="462"/>
      <c r="I730" s="462"/>
      <c r="J730" s="463"/>
    </row>
    <row r="731" spans="1:10" x14ac:dyDescent="0.25">
      <c r="A731" s="464"/>
      <c r="B731" s="465"/>
      <c r="C731" s="465"/>
      <c r="D731" s="465"/>
      <c r="E731" s="465"/>
      <c r="F731" s="465"/>
      <c r="G731" s="465"/>
      <c r="H731" s="465"/>
      <c r="I731" s="465"/>
      <c r="J731" s="466"/>
    </row>
    <row r="732" spans="1:10" x14ac:dyDescent="0.25">
      <c r="A732" s="464"/>
      <c r="B732" s="465"/>
      <c r="C732" s="465"/>
      <c r="D732" s="465"/>
      <c r="E732" s="465"/>
      <c r="F732" s="465"/>
      <c r="G732" s="465"/>
      <c r="H732" s="465"/>
      <c r="I732" s="465"/>
      <c r="J732" s="466"/>
    </row>
    <row r="733" spans="1:10" x14ac:dyDescent="0.25">
      <c r="A733" s="464"/>
      <c r="B733" s="465"/>
      <c r="C733" s="465"/>
      <c r="D733" s="465"/>
      <c r="E733" s="465"/>
      <c r="F733" s="465"/>
      <c r="G733" s="465"/>
      <c r="H733" s="465"/>
      <c r="I733" s="465"/>
      <c r="J733" s="466"/>
    </row>
    <row r="734" spans="1:10" x14ac:dyDescent="0.25">
      <c r="A734" s="464"/>
      <c r="B734" s="465"/>
      <c r="C734" s="465"/>
      <c r="D734" s="465"/>
      <c r="E734" s="465"/>
      <c r="F734" s="465"/>
      <c r="G734" s="465"/>
      <c r="H734" s="465"/>
      <c r="I734" s="465"/>
      <c r="J734" s="466"/>
    </row>
    <row r="735" spans="1:10" x14ac:dyDescent="0.25">
      <c r="A735" s="464"/>
      <c r="B735" s="465"/>
      <c r="C735" s="465"/>
      <c r="D735" s="465"/>
      <c r="E735" s="465"/>
      <c r="F735" s="465"/>
      <c r="G735" s="465"/>
      <c r="H735" s="465"/>
      <c r="I735" s="465"/>
      <c r="J735" s="466"/>
    </row>
    <row r="736" spans="1:10" x14ac:dyDescent="0.25">
      <c r="A736" s="464"/>
      <c r="B736" s="465"/>
      <c r="C736" s="465"/>
      <c r="D736" s="465"/>
      <c r="E736" s="465"/>
      <c r="F736" s="465"/>
      <c r="G736" s="465"/>
      <c r="H736" s="465"/>
      <c r="I736" s="465"/>
      <c r="J736" s="466"/>
    </row>
    <row r="737" spans="1:10" x14ac:dyDescent="0.25">
      <c r="A737" s="464"/>
      <c r="B737" s="465"/>
      <c r="C737" s="465"/>
      <c r="D737" s="465"/>
      <c r="E737" s="465"/>
      <c r="F737" s="465"/>
      <c r="G737" s="465"/>
      <c r="H737" s="465"/>
      <c r="I737" s="465"/>
      <c r="J737" s="466"/>
    </row>
    <row r="738" spans="1:10" x14ac:dyDescent="0.25">
      <c r="A738" s="464"/>
      <c r="B738" s="465"/>
      <c r="C738" s="465"/>
      <c r="D738" s="465"/>
      <c r="E738" s="465"/>
      <c r="F738" s="465"/>
      <c r="G738" s="465"/>
      <c r="H738" s="465"/>
      <c r="I738" s="465"/>
      <c r="J738" s="466"/>
    </row>
    <row r="739" spans="1:10" x14ac:dyDescent="0.25">
      <c r="A739" s="464"/>
      <c r="B739" s="465"/>
      <c r="C739" s="465"/>
      <c r="D739" s="465"/>
      <c r="E739" s="465"/>
      <c r="F739" s="465"/>
      <c r="G739" s="465"/>
      <c r="H739" s="465"/>
      <c r="I739" s="465"/>
      <c r="J739" s="466"/>
    </row>
    <row r="740" spans="1:10" x14ac:dyDescent="0.25">
      <c r="A740" s="464"/>
      <c r="B740" s="465"/>
      <c r="C740" s="465"/>
      <c r="D740" s="465"/>
      <c r="E740" s="465"/>
      <c r="F740" s="465"/>
      <c r="G740" s="465"/>
      <c r="H740" s="465"/>
      <c r="I740" s="465"/>
      <c r="J740" s="466"/>
    </row>
    <row r="741" spans="1:10" x14ac:dyDescent="0.25">
      <c r="A741" s="464"/>
      <c r="B741" s="465"/>
      <c r="C741" s="465"/>
      <c r="D741" s="465"/>
      <c r="E741" s="465"/>
      <c r="F741" s="465"/>
      <c r="G741" s="465"/>
      <c r="H741" s="465"/>
      <c r="I741" s="465"/>
      <c r="J741" s="466"/>
    </row>
    <row r="742" spans="1:10" x14ac:dyDescent="0.25">
      <c r="A742" s="464"/>
      <c r="B742" s="465"/>
      <c r="C742" s="465"/>
      <c r="D742" s="465"/>
      <c r="E742" s="465"/>
      <c r="F742" s="465"/>
      <c r="G742" s="465"/>
      <c r="H742" s="465"/>
      <c r="I742" s="465"/>
      <c r="J742" s="466"/>
    </row>
    <row r="743" spans="1:10" x14ac:dyDescent="0.25">
      <c r="A743" s="464"/>
      <c r="B743" s="465"/>
      <c r="C743" s="465"/>
      <c r="D743" s="465"/>
      <c r="E743" s="465"/>
      <c r="F743" s="465"/>
      <c r="G743" s="465"/>
      <c r="H743" s="465"/>
      <c r="I743" s="465"/>
      <c r="J743" s="466"/>
    </row>
    <row r="744" spans="1:10" x14ac:dyDescent="0.25">
      <c r="A744" s="464"/>
      <c r="B744" s="465"/>
      <c r="C744" s="465"/>
      <c r="D744" s="465"/>
      <c r="E744" s="465"/>
      <c r="F744" s="465"/>
      <c r="G744" s="465"/>
      <c r="H744" s="465"/>
      <c r="I744" s="465"/>
      <c r="J744" s="466"/>
    </row>
    <row r="745" spans="1:10" x14ac:dyDescent="0.25">
      <c r="A745" s="464"/>
      <c r="B745" s="465"/>
      <c r="C745" s="465"/>
      <c r="D745" s="465"/>
      <c r="E745" s="465"/>
      <c r="F745" s="465"/>
      <c r="G745" s="465"/>
      <c r="H745" s="465"/>
      <c r="I745" s="465"/>
      <c r="J745" s="466"/>
    </row>
    <row r="746" spans="1:10" x14ac:dyDescent="0.25">
      <c r="A746" s="464"/>
      <c r="B746" s="465"/>
      <c r="C746" s="465"/>
      <c r="D746" s="465"/>
      <c r="E746" s="465"/>
      <c r="F746" s="465"/>
      <c r="G746" s="465"/>
      <c r="H746" s="465"/>
      <c r="I746" s="465"/>
      <c r="J746" s="466"/>
    </row>
    <row r="747" spans="1:10" x14ac:dyDescent="0.25">
      <c r="A747" s="464"/>
      <c r="B747" s="465"/>
      <c r="C747" s="465"/>
      <c r="D747" s="465"/>
      <c r="E747" s="465"/>
      <c r="F747" s="465"/>
      <c r="G747" s="465"/>
      <c r="H747" s="465"/>
      <c r="I747" s="465"/>
      <c r="J747" s="466"/>
    </row>
    <row r="748" spans="1:10" x14ac:dyDescent="0.25">
      <c r="A748" s="464"/>
      <c r="B748" s="465"/>
      <c r="C748" s="465"/>
      <c r="D748" s="465"/>
      <c r="E748" s="465"/>
      <c r="F748" s="465"/>
      <c r="G748" s="465"/>
      <c r="H748" s="465"/>
      <c r="I748" s="465"/>
      <c r="J748" s="466"/>
    </row>
    <row r="749" spans="1:10" x14ac:dyDescent="0.25">
      <c r="A749" s="464"/>
      <c r="B749" s="465"/>
      <c r="C749" s="465"/>
      <c r="D749" s="465"/>
      <c r="E749" s="465"/>
      <c r="F749" s="465"/>
      <c r="G749" s="465"/>
      <c r="H749" s="465"/>
      <c r="I749" s="465"/>
      <c r="J749" s="466"/>
    </row>
    <row r="750" spans="1:10" x14ac:dyDescent="0.25">
      <c r="A750" s="464"/>
      <c r="B750" s="465"/>
      <c r="C750" s="465"/>
      <c r="D750" s="465"/>
      <c r="E750" s="465"/>
      <c r="F750" s="465"/>
      <c r="G750" s="465"/>
      <c r="H750" s="465"/>
      <c r="I750" s="465"/>
      <c r="J750" s="466"/>
    </row>
    <row r="751" spans="1:10" x14ac:dyDescent="0.25">
      <c r="A751" s="464"/>
      <c r="B751" s="465"/>
      <c r="C751" s="465"/>
      <c r="D751" s="465"/>
      <c r="E751" s="465"/>
      <c r="F751" s="465"/>
      <c r="G751" s="465"/>
      <c r="H751" s="465"/>
      <c r="I751" s="465"/>
      <c r="J751" s="466"/>
    </row>
    <row r="752" spans="1:10" x14ac:dyDescent="0.25">
      <c r="A752" s="464"/>
      <c r="B752" s="465"/>
      <c r="C752" s="465"/>
      <c r="D752" s="465"/>
      <c r="E752" s="465"/>
      <c r="F752" s="465"/>
      <c r="G752" s="465"/>
      <c r="H752" s="465"/>
      <c r="I752" s="465"/>
      <c r="J752" s="466"/>
    </row>
    <row r="753" spans="1:10" x14ac:dyDescent="0.25">
      <c r="A753" s="464"/>
      <c r="B753" s="465"/>
      <c r="C753" s="465"/>
      <c r="D753" s="465"/>
      <c r="E753" s="465"/>
      <c r="F753" s="465"/>
      <c r="G753" s="465"/>
      <c r="H753" s="465"/>
      <c r="I753" s="465"/>
      <c r="J753" s="466"/>
    </row>
    <row r="754" spans="1:10" x14ac:dyDescent="0.25">
      <c r="A754" s="464"/>
      <c r="B754" s="465"/>
      <c r="C754" s="465"/>
      <c r="D754" s="465"/>
      <c r="E754" s="465"/>
      <c r="F754" s="465"/>
      <c r="G754" s="465"/>
      <c r="H754" s="465"/>
      <c r="I754" s="465"/>
      <c r="J754" s="466"/>
    </row>
    <row r="755" spans="1:10" x14ac:dyDescent="0.25">
      <c r="A755" s="464"/>
      <c r="B755" s="465"/>
      <c r="C755" s="465"/>
      <c r="D755" s="465"/>
      <c r="E755" s="465"/>
      <c r="F755" s="465"/>
      <c r="G755" s="465"/>
      <c r="H755" s="465"/>
      <c r="I755" s="465"/>
      <c r="J755" s="466"/>
    </row>
    <row r="756" spans="1:10" x14ac:dyDescent="0.25">
      <c r="A756" s="464"/>
      <c r="B756" s="465"/>
      <c r="C756" s="465"/>
      <c r="D756" s="465"/>
      <c r="E756" s="465"/>
      <c r="F756" s="465"/>
      <c r="G756" s="465"/>
      <c r="H756" s="465"/>
      <c r="I756" s="465"/>
      <c r="J756" s="466"/>
    </row>
    <row r="757" spans="1:10" x14ac:dyDescent="0.25">
      <c r="A757" s="464"/>
      <c r="B757" s="465"/>
      <c r="C757" s="465"/>
      <c r="D757" s="465"/>
      <c r="E757" s="465"/>
      <c r="F757" s="465"/>
      <c r="G757" s="465"/>
      <c r="H757" s="465"/>
      <c r="I757" s="465"/>
      <c r="J757" s="466"/>
    </row>
    <row r="758" spans="1:10" x14ac:dyDescent="0.25">
      <c r="A758" s="464"/>
      <c r="B758" s="465"/>
      <c r="C758" s="465"/>
      <c r="D758" s="465"/>
      <c r="E758" s="465"/>
      <c r="F758" s="465"/>
      <c r="G758" s="465"/>
      <c r="H758" s="465"/>
      <c r="I758" s="465"/>
      <c r="J758" s="466"/>
    </row>
    <row r="759" spans="1:10" x14ac:dyDescent="0.25">
      <c r="A759" s="464"/>
      <c r="B759" s="465"/>
      <c r="C759" s="465"/>
      <c r="D759" s="465"/>
      <c r="E759" s="465"/>
      <c r="F759" s="465"/>
      <c r="G759" s="465"/>
      <c r="H759" s="465"/>
      <c r="I759" s="465"/>
      <c r="J759" s="466"/>
    </row>
    <row r="760" spans="1:10" x14ac:dyDescent="0.25">
      <c r="A760" s="467"/>
      <c r="B760" s="468"/>
      <c r="C760" s="468"/>
      <c r="D760" s="468"/>
      <c r="E760" s="468"/>
      <c r="F760" s="468"/>
      <c r="G760" s="468"/>
      <c r="H760" s="468"/>
      <c r="I760" s="468"/>
      <c r="J760" s="469"/>
    </row>
    <row r="762" spans="1:10" ht="15.6" x14ac:dyDescent="0.3">
      <c r="A762" s="351" t="s">
        <v>848</v>
      </c>
      <c r="B762" s="352"/>
      <c r="C762" s="352"/>
      <c r="D762" s="352"/>
      <c r="E762" s="352"/>
      <c r="F762" s="352"/>
      <c r="G762" s="352"/>
      <c r="H762" s="349" t="str">
        <f>'CONTACT INFORMATION'!$A$24</f>
        <v>Fresno</v>
      </c>
      <c r="I762" s="349"/>
      <c r="J762" s="350"/>
    </row>
    <row r="763" spans="1:10" ht="15.6" x14ac:dyDescent="0.3">
      <c r="A763" s="57"/>
      <c r="B763" s="57"/>
      <c r="C763" s="57"/>
      <c r="D763" s="57"/>
      <c r="E763" s="57"/>
      <c r="F763" s="57"/>
      <c r="G763" s="57"/>
      <c r="H763" s="57"/>
      <c r="I763" s="57"/>
      <c r="J763" s="57"/>
    </row>
    <row r="764" spans="1:10" ht="13.8" x14ac:dyDescent="0.25">
      <c r="A764" s="458" t="s">
        <v>911</v>
      </c>
      <c r="B764" s="459"/>
      <c r="C764" s="459"/>
      <c r="D764" s="459"/>
      <c r="E764" s="459"/>
      <c r="F764" s="459"/>
      <c r="G764" s="459"/>
      <c r="H764" s="459"/>
      <c r="I764" s="459"/>
      <c r="J764" s="460"/>
    </row>
    <row r="765" spans="1:10" x14ac:dyDescent="0.25">
      <c r="A765" s="455" t="s">
        <v>854</v>
      </c>
      <c r="B765" s="456"/>
      <c r="C765" s="456"/>
      <c r="D765" s="457"/>
      <c r="E765" s="527"/>
      <c r="F765" s="528"/>
      <c r="G765" s="528"/>
      <c r="H765" s="528"/>
      <c r="I765" s="528"/>
      <c r="J765" s="529"/>
    </row>
    <row r="766" spans="1:10" x14ac:dyDescent="0.25">
      <c r="A766" s="495" t="s">
        <v>853</v>
      </c>
      <c r="B766" s="496"/>
      <c r="C766" s="496"/>
      <c r="D766" s="497"/>
      <c r="E766" s="530"/>
      <c r="F766" s="531"/>
      <c r="G766" s="531"/>
      <c r="H766" s="531"/>
      <c r="I766" s="531"/>
      <c r="J766" s="532"/>
    </row>
    <row r="767" spans="1:10" x14ac:dyDescent="0.25">
      <c r="A767" s="498" t="s">
        <v>808</v>
      </c>
      <c r="B767" s="499"/>
      <c r="C767" s="499"/>
      <c r="D767" s="499"/>
      <c r="E767" s="471"/>
      <c r="F767" s="472"/>
      <c r="G767" s="472"/>
      <c r="H767" s="472"/>
      <c r="I767" s="472"/>
      <c r="J767" s="473"/>
    </row>
    <row r="768" spans="1:10" x14ac:dyDescent="0.25">
      <c r="A768" s="58"/>
      <c r="B768" s="59"/>
      <c r="C768" s="59"/>
      <c r="D768" s="59"/>
      <c r="E768" s="569" t="s">
        <v>535</v>
      </c>
      <c r="F768" s="475"/>
      <c r="G768" s="569" t="s">
        <v>533</v>
      </c>
      <c r="H768" s="475"/>
      <c r="I768" s="476" t="s">
        <v>849</v>
      </c>
      <c r="J768" s="477"/>
    </row>
    <row r="769" spans="1:10" x14ac:dyDescent="0.25">
      <c r="A769" s="502" t="s">
        <v>527</v>
      </c>
      <c r="B769" s="502"/>
      <c r="C769" s="502"/>
      <c r="D769" s="502"/>
      <c r="E769" s="449"/>
      <c r="F769" s="449"/>
      <c r="G769" s="449"/>
      <c r="H769" s="449"/>
      <c r="I769" s="450"/>
      <c r="J769" s="450"/>
    </row>
    <row r="770" spans="1:10" x14ac:dyDescent="0.25">
      <c r="A770" s="503" t="s">
        <v>528</v>
      </c>
      <c r="B770" s="503"/>
      <c r="C770" s="503"/>
      <c r="D770" s="503"/>
      <c r="E770" s="432"/>
      <c r="F770" s="432"/>
      <c r="G770" s="433"/>
      <c r="H770" s="433"/>
      <c r="I770" s="448"/>
      <c r="J770" s="448"/>
    </row>
    <row r="771" spans="1:10" x14ac:dyDescent="0.25">
      <c r="A771" s="502" t="s">
        <v>529</v>
      </c>
      <c r="B771" s="502"/>
      <c r="C771" s="502"/>
      <c r="D771" s="502"/>
      <c r="E771" s="449"/>
      <c r="F771" s="449"/>
      <c r="G771" s="449"/>
      <c r="H771" s="449"/>
      <c r="I771" s="450"/>
      <c r="J771" s="450"/>
    </row>
    <row r="772" spans="1:10" x14ac:dyDescent="0.25">
      <c r="A772" s="503" t="s">
        <v>530</v>
      </c>
      <c r="B772" s="503"/>
      <c r="C772" s="503"/>
      <c r="D772" s="503"/>
      <c r="E772" s="432"/>
      <c r="F772" s="432"/>
      <c r="G772" s="433"/>
      <c r="H772" s="433"/>
      <c r="I772" s="448"/>
      <c r="J772" s="448"/>
    </row>
    <row r="773" spans="1:10" x14ac:dyDescent="0.25">
      <c r="A773" s="502" t="s">
        <v>531</v>
      </c>
      <c r="B773" s="502"/>
      <c r="C773" s="502"/>
      <c r="D773" s="502"/>
      <c r="E773" s="449"/>
      <c r="F773" s="449"/>
      <c r="G773" s="449"/>
      <c r="H773" s="449"/>
      <c r="I773" s="450"/>
      <c r="J773" s="450"/>
    </row>
    <row r="774" spans="1:10" x14ac:dyDescent="0.25">
      <c r="A774" s="503" t="s">
        <v>532</v>
      </c>
      <c r="B774" s="503"/>
      <c r="C774" s="503"/>
      <c r="D774" s="503"/>
      <c r="E774" s="432"/>
      <c r="F774" s="432"/>
      <c r="G774" s="433"/>
      <c r="H774" s="433"/>
      <c r="I774" s="448"/>
      <c r="J774" s="448"/>
    </row>
    <row r="775" spans="1:10" x14ac:dyDescent="0.25">
      <c r="A775" s="502" t="s">
        <v>537</v>
      </c>
      <c r="B775" s="502"/>
      <c r="C775" s="502"/>
      <c r="D775" s="502"/>
      <c r="E775" s="444"/>
      <c r="F775" s="444"/>
      <c r="G775" s="444"/>
      <c r="H775" s="444"/>
      <c r="I775" s="438"/>
      <c r="J775" s="438"/>
    </row>
    <row r="776" spans="1:10" x14ac:dyDescent="0.25">
      <c r="A776" s="429"/>
      <c r="B776" s="430"/>
      <c r="C776" s="430"/>
      <c r="D776" s="431"/>
      <c r="E776" s="432"/>
      <c r="F776" s="432"/>
      <c r="G776" s="433"/>
      <c r="H776" s="433"/>
      <c r="I776" s="433"/>
      <c r="J776" s="433"/>
    </row>
    <row r="777" spans="1:10" x14ac:dyDescent="0.25">
      <c r="A777" s="429"/>
      <c r="B777" s="430"/>
      <c r="C777" s="430"/>
      <c r="D777" s="431"/>
      <c r="E777" s="432"/>
      <c r="F777" s="432"/>
      <c r="G777" s="433"/>
      <c r="H777" s="433"/>
      <c r="I777" s="433"/>
      <c r="J777" s="433"/>
    </row>
    <row r="778" spans="1:10" x14ac:dyDescent="0.25">
      <c r="A778" s="429"/>
      <c r="B778" s="430"/>
      <c r="C778" s="430"/>
      <c r="D778" s="431"/>
      <c r="E778" s="432"/>
      <c r="F778" s="432"/>
      <c r="G778" s="433"/>
      <c r="H778" s="433"/>
      <c r="I778" s="433"/>
      <c r="J778" s="433"/>
    </row>
    <row r="779" spans="1:10" x14ac:dyDescent="0.25">
      <c r="A779" s="470" t="s">
        <v>534</v>
      </c>
      <c r="B779" s="470"/>
      <c r="C779" s="470"/>
      <c r="D779" s="470"/>
      <c r="E779" s="437">
        <f>SUM(E769:E778)</f>
        <v>0</v>
      </c>
      <c r="F779" s="437"/>
      <c r="G779" s="437">
        <f>SUM(G769:G778)</f>
        <v>0</v>
      </c>
      <c r="H779" s="437"/>
      <c r="I779" s="437">
        <f>SUM(I769:I778)</f>
        <v>0</v>
      </c>
      <c r="J779" s="437"/>
    </row>
    <row r="780" spans="1:10" x14ac:dyDescent="0.25">
      <c r="A780" s="486" t="s">
        <v>861</v>
      </c>
      <c r="B780" s="487"/>
      <c r="C780" s="487"/>
      <c r="D780" s="487"/>
      <c r="E780" s="487"/>
      <c r="F780" s="487"/>
      <c r="G780" s="487"/>
      <c r="H780" s="487"/>
      <c r="I780" s="487"/>
      <c r="J780" s="488"/>
    </row>
    <row r="781" spans="1:10" x14ac:dyDescent="0.25">
      <c r="A781" s="489" t="s">
        <v>862</v>
      </c>
      <c r="B781" s="490"/>
      <c r="C781" s="490"/>
      <c r="D781" s="490"/>
      <c r="E781" s="490"/>
      <c r="F781" s="490"/>
      <c r="G781" s="490"/>
      <c r="H781" s="490"/>
      <c r="I781" s="490"/>
      <c r="J781" s="491"/>
    </row>
    <row r="782" spans="1:10" x14ac:dyDescent="0.25">
      <c r="A782" s="489" t="s">
        <v>863</v>
      </c>
      <c r="B782" s="490"/>
      <c r="C782" s="490"/>
      <c r="D782" s="490"/>
      <c r="E782" s="490"/>
      <c r="F782" s="490"/>
      <c r="G782" s="490"/>
      <c r="H782" s="490"/>
      <c r="I782" s="490"/>
      <c r="J782" s="491"/>
    </row>
    <row r="783" spans="1:10" x14ac:dyDescent="0.25">
      <c r="A783" s="492" t="s">
        <v>864</v>
      </c>
      <c r="B783" s="493"/>
      <c r="C783" s="493"/>
      <c r="D783" s="493"/>
      <c r="E783" s="493"/>
      <c r="F783" s="493"/>
      <c r="G783" s="493"/>
      <c r="H783" s="493"/>
      <c r="I783" s="493"/>
      <c r="J783" s="494"/>
    </row>
    <row r="784" spans="1:10" x14ac:dyDescent="0.25">
      <c r="A784" s="461"/>
      <c r="B784" s="462"/>
      <c r="C784" s="462"/>
      <c r="D784" s="462"/>
      <c r="E784" s="462"/>
      <c r="F784" s="462"/>
      <c r="G784" s="462"/>
      <c r="H784" s="462"/>
      <c r="I784" s="462"/>
      <c r="J784" s="463"/>
    </row>
    <row r="785" spans="1:10" x14ac:dyDescent="0.25">
      <c r="A785" s="464"/>
      <c r="B785" s="465"/>
      <c r="C785" s="465"/>
      <c r="D785" s="465"/>
      <c r="E785" s="465"/>
      <c r="F785" s="465"/>
      <c r="G785" s="465"/>
      <c r="H785" s="465"/>
      <c r="I785" s="465"/>
      <c r="J785" s="466"/>
    </row>
    <row r="786" spans="1:10" x14ac:dyDescent="0.25">
      <c r="A786" s="464"/>
      <c r="B786" s="465"/>
      <c r="C786" s="465"/>
      <c r="D786" s="465"/>
      <c r="E786" s="465"/>
      <c r="F786" s="465"/>
      <c r="G786" s="465"/>
      <c r="H786" s="465"/>
      <c r="I786" s="465"/>
      <c r="J786" s="466"/>
    </row>
    <row r="787" spans="1:10" x14ac:dyDescent="0.25">
      <c r="A787" s="464"/>
      <c r="B787" s="465"/>
      <c r="C787" s="465"/>
      <c r="D787" s="465"/>
      <c r="E787" s="465"/>
      <c r="F787" s="465"/>
      <c r="G787" s="465"/>
      <c r="H787" s="465"/>
      <c r="I787" s="465"/>
      <c r="J787" s="466"/>
    </row>
    <row r="788" spans="1:10" x14ac:dyDescent="0.25">
      <c r="A788" s="464"/>
      <c r="B788" s="465"/>
      <c r="C788" s="465"/>
      <c r="D788" s="465"/>
      <c r="E788" s="465"/>
      <c r="F788" s="465"/>
      <c r="G788" s="465"/>
      <c r="H788" s="465"/>
      <c r="I788" s="465"/>
      <c r="J788" s="466"/>
    </row>
    <row r="789" spans="1:10" x14ac:dyDescent="0.25">
      <c r="A789" s="464"/>
      <c r="B789" s="465"/>
      <c r="C789" s="465"/>
      <c r="D789" s="465"/>
      <c r="E789" s="465"/>
      <c r="F789" s="465"/>
      <c r="G789" s="465"/>
      <c r="H789" s="465"/>
      <c r="I789" s="465"/>
      <c r="J789" s="466"/>
    </row>
    <row r="790" spans="1:10" x14ac:dyDescent="0.25">
      <c r="A790" s="464"/>
      <c r="B790" s="465"/>
      <c r="C790" s="465"/>
      <c r="D790" s="465"/>
      <c r="E790" s="465"/>
      <c r="F790" s="465"/>
      <c r="G790" s="465"/>
      <c r="H790" s="465"/>
      <c r="I790" s="465"/>
      <c r="J790" s="466"/>
    </row>
    <row r="791" spans="1:10" x14ac:dyDescent="0.25">
      <c r="A791" s="464"/>
      <c r="B791" s="465"/>
      <c r="C791" s="465"/>
      <c r="D791" s="465"/>
      <c r="E791" s="465"/>
      <c r="F791" s="465"/>
      <c r="G791" s="465"/>
      <c r="H791" s="465"/>
      <c r="I791" s="465"/>
      <c r="J791" s="466"/>
    </row>
    <row r="792" spans="1:10" x14ac:dyDescent="0.25">
      <c r="A792" s="464"/>
      <c r="B792" s="465"/>
      <c r="C792" s="465"/>
      <c r="D792" s="465"/>
      <c r="E792" s="465"/>
      <c r="F792" s="465"/>
      <c r="G792" s="465"/>
      <c r="H792" s="465"/>
      <c r="I792" s="465"/>
      <c r="J792" s="466"/>
    </row>
    <row r="793" spans="1:10" x14ac:dyDescent="0.25">
      <c r="A793" s="464"/>
      <c r="B793" s="465"/>
      <c r="C793" s="465"/>
      <c r="D793" s="465"/>
      <c r="E793" s="465"/>
      <c r="F793" s="465"/>
      <c r="G793" s="465"/>
      <c r="H793" s="465"/>
      <c r="I793" s="465"/>
      <c r="J793" s="466"/>
    </row>
    <row r="794" spans="1:10" x14ac:dyDescent="0.25">
      <c r="A794" s="464"/>
      <c r="B794" s="465"/>
      <c r="C794" s="465"/>
      <c r="D794" s="465"/>
      <c r="E794" s="465"/>
      <c r="F794" s="465"/>
      <c r="G794" s="465"/>
      <c r="H794" s="465"/>
      <c r="I794" s="465"/>
      <c r="J794" s="466"/>
    </row>
    <row r="795" spans="1:10" x14ac:dyDescent="0.25">
      <c r="A795" s="464"/>
      <c r="B795" s="465"/>
      <c r="C795" s="465"/>
      <c r="D795" s="465"/>
      <c r="E795" s="465"/>
      <c r="F795" s="465"/>
      <c r="G795" s="465"/>
      <c r="H795" s="465"/>
      <c r="I795" s="465"/>
      <c r="J795" s="466"/>
    </row>
    <row r="796" spans="1:10" x14ac:dyDescent="0.25">
      <c r="A796" s="464"/>
      <c r="B796" s="465"/>
      <c r="C796" s="465"/>
      <c r="D796" s="465"/>
      <c r="E796" s="465"/>
      <c r="F796" s="465"/>
      <c r="G796" s="465"/>
      <c r="H796" s="465"/>
      <c r="I796" s="465"/>
      <c r="J796" s="466"/>
    </row>
    <row r="797" spans="1:10" x14ac:dyDescent="0.25">
      <c r="A797" s="464"/>
      <c r="B797" s="465"/>
      <c r="C797" s="465"/>
      <c r="D797" s="465"/>
      <c r="E797" s="465"/>
      <c r="F797" s="465"/>
      <c r="G797" s="465"/>
      <c r="H797" s="465"/>
      <c r="I797" s="465"/>
      <c r="J797" s="466"/>
    </row>
    <row r="798" spans="1:10" x14ac:dyDescent="0.25">
      <c r="A798" s="464"/>
      <c r="B798" s="465"/>
      <c r="C798" s="465"/>
      <c r="D798" s="465"/>
      <c r="E798" s="465"/>
      <c r="F798" s="465"/>
      <c r="G798" s="465"/>
      <c r="H798" s="465"/>
      <c r="I798" s="465"/>
      <c r="J798" s="466"/>
    </row>
    <row r="799" spans="1:10" x14ac:dyDescent="0.25">
      <c r="A799" s="464"/>
      <c r="B799" s="465"/>
      <c r="C799" s="465"/>
      <c r="D799" s="465"/>
      <c r="E799" s="465"/>
      <c r="F799" s="465"/>
      <c r="G799" s="465"/>
      <c r="H799" s="465"/>
      <c r="I799" s="465"/>
      <c r="J799" s="466"/>
    </row>
    <row r="800" spans="1:10" x14ac:dyDescent="0.25">
      <c r="A800" s="464"/>
      <c r="B800" s="465"/>
      <c r="C800" s="465"/>
      <c r="D800" s="465"/>
      <c r="E800" s="465"/>
      <c r="F800" s="465"/>
      <c r="G800" s="465"/>
      <c r="H800" s="465"/>
      <c r="I800" s="465"/>
      <c r="J800" s="466"/>
    </row>
    <row r="801" spans="1:10" x14ac:dyDescent="0.25">
      <c r="A801" s="464"/>
      <c r="B801" s="465"/>
      <c r="C801" s="465"/>
      <c r="D801" s="465"/>
      <c r="E801" s="465"/>
      <c r="F801" s="465"/>
      <c r="G801" s="465"/>
      <c r="H801" s="465"/>
      <c r="I801" s="465"/>
      <c r="J801" s="466"/>
    </row>
    <row r="802" spans="1:10" x14ac:dyDescent="0.25">
      <c r="A802" s="464"/>
      <c r="B802" s="465"/>
      <c r="C802" s="465"/>
      <c r="D802" s="465"/>
      <c r="E802" s="465"/>
      <c r="F802" s="465"/>
      <c r="G802" s="465"/>
      <c r="H802" s="465"/>
      <c r="I802" s="465"/>
      <c r="J802" s="466"/>
    </row>
    <row r="803" spans="1:10" x14ac:dyDescent="0.25">
      <c r="A803" s="464"/>
      <c r="B803" s="465"/>
      <c r="C803" s="465"/>
      <c r="D803" s="465"/>
      <c r="E803" s="465"/>
      <c r="F803" s="465"/>
      <c r="G803" s="465"/>
      <c r="H803" s="465"/>
      <c r="I803" s="465"/>
      <c r="J803" s="466"/>
    </row>
    <row r="804" spans="1:10" x14ac:dyDescent="0.25">
      <c r="A804" s="464"/>
      <c r="B804" s="465"/>
      <c r="C804" s="465"/>
      <c r="D804" s="465"/>
      <c r="E804" s="465"/>
      <c r="F804" s="465"/>
      <c r="G804" s="465"/>
      <c r="H804" s="465"/>
      <c r="I804" s="465"/>
      <c r="J804" s="466"/>
    </row>
    <row r="805" spans="1:10" x14ac:dyDescent="0.25">
      <c r="A805" s="464"/>
      <c r="B805" s="465"/>
      <c r="C805" s="465"/>
      <c r="D805" s="465"/>
      <c r="E805" s="465"/>
      <c r="F805" s="465"/>
      <c r="G805" s="465"/>
      <c r="H805" s="465"/>
      <c r="I805" s="465"/>
      <c r="J805" s="466"/>
    </row>
    <row r="806" spans="1:10" x14ac:dyDescent="0.25">
      <c r="A806" s="464"/>
      <c r="B806" s="465"/>
      <c r="C806" s="465"/>
      <c r="D806" s="465"/>
      <c r="E806" s="465"/>
      <c r="F806" s="465"/>
      <c r="G806" s="465"/>
      <c r="H806" s="465"/>
      <c r="I806" s="465"/>
      <c r="J806" s="466"/>
    </row>
    <row r="807" spans="1:10" x14ac:dyDescent="0.25">
      <c r="A807" s="464"/>
      <c r="B807" s="465"/>
      <c r="C807" s="465"/>
      <c r="D807" s="465"/>
      <c r="E807" s="465"/>
      <c r="F807" s="465"/>
      <c r="G807" s="465"/>
      <c r="H807" s="465"/>
      <c r="I807" s="465"/>
      <c r="J807" s="466"/>
    </row>
    <row r="808" spans="1:10" x14ac:dyDescent="0.25">
      <c r="A808" s="464"/>
      <c r="B808" s="465"/>
      <c r="C808" s="465"/>
      <c r="D808" s="465"/>
      <c r="E808" s="465"/>
      <c r="F808" s="465"/>
      <c r="G808" s="465"/>
      <c r="H808" s="465"/>
      <c r="I808" s="465"/>
      <c r="J808" s="466"/>
    </row>
    <row r="809" spans="1:10" x14ac:dyDescent="0.25">
      <c r="A809" s="464"/>
      <c r="B809" s="465"/>
      <c r="C809" s="465"/>
      <c r="D809" s="465"/>
      <c r="E809" s="465"/>
      <c r="F809" s="465"/>
      <c r="G809" s="465"/>
      <c r="H809" s="465"/>
      <c r="I809" s="465"/>
      <c r="J809" s="466"/>
    </row>
    <row r="810" spans="1:10" x14ac:dyDescent="0.25">
      <c r="A810" s="464"/>
      <c r="B810" s="465"/>
      <c r="C810" s="465"/>
      <c r="D810" s="465"/>
      <c r="E810" s="465"/>
      <c r="F810" s="465"/>
      <c r="G810" s="465"/>
      <c r="H810" s="465"/>
      <c r="I810" s="465"/>
      <c r="J810" s="466"/>
    </row>
    <row r="811" spans="1:10" x14ac:dyDescent="0.25">
      <c r="A811" s="464"/>
      <c r="B811" s="465"/>
      <c r="C811" s="465"/>
      <c r="D811" s="465"/>
      <c r="E811" s="465"/>
      <c r="F811" s="465"/>
      <c r="G811" s="465"/>
      <c r="H811" s="465"/>
      <c r="I811" s="465"/>
      <c r="J811" s="466"/>
    </row>
    <row r="812" spans="1:10" x14ac:dyDescent="0.25">
      <c r="A812" s="464"/>
      <c r="B812" s="465"/>
      <c r="C812" s="465"/>
      <c r="D812" s="465"/>
      <c r="E812" s="465"/>
      <c r="F812" s="465"/>
      <c r="G812" s="465"/>
      <c r="H812" s="465"/>
      <c r="I812" s="465"/>
      <c r="J812" s="466"/>
    </row>
    <row r="813" spans="1:10" x14ac:dyDescent="0.25">
      <c r="A813" s="464"/>
      <c r="B813" s="465"/>
      <c r="C813" s="465"/>
      <c r="D813" s="465"/>
      <c r="E813" s="465"/>
      <c r="F813" s="465"/>
      <c r="G813" s="465"/>
      <c r="H813" s="465"/>
      <c r="I813" s="465"/>
      <c r="J813" s="466"/>
    </row>
    <row r="814" spans="1:10" x14ac:dyDescent="0.25">
      <c r="A814" s="464"/>
      <c r="B814" s="465"/>
      <c r="C814" s="465"/>
      <c r="D814" s="465"/>
      <c r="E814" s="465"/>
      <c r="F814" s="465"/>
      <c r="G814" s="465"/>
      <c r="H814" s="465"/>
      <c r="I814" s="465"/>
      <c r="J814" s="466"/>
    </row>
    <row r="815" spans="1:10" x14ac:dyDescent="0.25">
      <c r="A815" s="467"/>
      <c r="B815" s="468"/>
      <c r="C815" s="468"/>
      <c r="D815" s="468"/>
      <c r="E815" s="468"/>
      <c r="F815" s="468"/>
      <c r="G815" s="468"/>
      <c r="H815" s="468"/>
      <c r="I815" s="468"/>
      <c r="J815" s="469"/>
    </row>
  </sheetData>
  <sheetProtection password="C4FF" sheet="1" objects="1" scenarios="1" selectLockedCells="1"/>
  <mergeCells count="900">
    <mergeCell ref="A780:J780"/>
    <mergeCell ref="A781:J781"/>
    <mergeCell ref="A782:J782"/>
    <mergeCell ref="A783:J783"/>
    <mergeCell ref="A784:J815"/>
    <mergeCell ref="A778:D778"/>
    <mergeCell ref="E778:F778"/>
    <mergeCell ref="G778:H778"/>
    <mergeCell ref="I778:J778"/>
    <mergeCell ref="A779:D779"/>
    <mergeCell ref="E779:F779"/>
    <mergeCell ref="G779:H779"/>
    <mergeCell ref="I779:J779"/>
    <mergeCell ref="A776:D776"/>
    <mergeCell ref="E776:F776"/>
    <mergeCell ref="G776:H776"/>
    <mergeCell ref="I776:J776"/>
    <mergeCell ref="A777:D777"/>
    <mergeCell ref="E777:F777"/>
    <mergeCell ref="G777:H777"/>
    <mergeCell ref="I777:J777"/>
    <mergeCell ref="A774:D774"/>
    <mergeCell ref="E774:F774"/>
    <mergeCell ref="G774:H774"/>
    <mergeCell ref="I774:J774"/>
    <mergeCell ref="A775:D775"/>
    <mergeCell ref="E775:F775"/>
    <mergeCell ref="G775:H775"/>
    <mergeCell ref="I775:J775"/>
    <mergeCell ref="A772:D772"/>
    <mergeCell ref="E772:F772"/>
    <mergeCell ref="G772:H772"/>
    <mergeCell ref="I772:J772"/>
    <mergeCell ref="A773:D773"/>
    <mergeCell ref="E773:F773"/>
    <mergeCell ref="G773:H773"/>
    <mergeCell ref="I773:J773"/>
    <mergeCell ref="A770:D770"/>
    <mergeCell ref="E770:F770"/>
    <mergeCell ref="G770:H770"/>
    <mergeCell ref="I770:J770"/>
    <mergeCell ref="A771:D771"/>
    <mergeCell ref="E771:F771"/>
    <mergeCell ref="G771:H771"/>
    <mergeCell ref="I771:J771"/>
    <mergeCell ref="E768:F768"/>
    <mergeCell ref="G768:H768"/>
    <mergeCell ref="I768:J768"/>
    <mergeCell ref="A769:D769"/>
    <mergeCell ref="E769:F769"/>
    <mergeCell ref="G769:H769"/>
    <mergeCell ref="I769:J769"/>
    <mergeCell ref="A764:J764"/>
    <mergeCell ref="A765:D765"/>
    <mergeCell ref="E765:J766"/>
    <mergeCell ref="A766:D766"/>
    <mergeCell ref="A767:D767"/>
    <mergeCell ref="E767:J767"/>
    <mergeCell ref="A726:J726"/>
    <mergeCell ref="A727:J727"/>
    <mergeCell ref="A728:J728"/>
    <mergeCell ref="A729:J729"/>
    <mergeCell ref="A730:J760"/>
    <mergeCell ref="A762:G762"/>
    <mergeCell ref="H762:J762"/>
    <mergeCell ref="A724:D724"/>
    <mergeCell ref="E724:F724"/>
    <mergeCell ref="G724:H724"/>
    <mergeCell ref="I724:J724"/>
    <mergeCell ref="A725:D725"/>
    <mergeCell ref="E725:F725"/>
    <mergeCell ref="G725:H725"/>
    <mergeCell ref="I725:J725"/>
    <mergeCell ref="A722:D722"/>
    <mergeCell ref="E722:F722"/>
    <mergeCell ref="G722:H722"/>
    <mergeCell ref="I722:J722"/>
    <mergeCell ref="A723:D723"/>
    <mergeCell ref="E723:F723"/>
    <mergeCell ref="G723:H723"/>
    <mergeCell ref="I723:J723"/>
    <mergeCell ref="A720:D720"/>
    <mergeCell ref="E720:F720"/>
    <mergeCell ref="G720:H720"/>
    <mergeCell ref="I720:J720"/>
    <mergeCell ref="A721:D721"/>
    <mergeCell ref="E721:F721"/>
    <mergeCell ref="G721:H721"/>
    <mergeCell ref="I721:J721"/>
    <mergeCell ref="A718:D718"/>
    <mergeCell ref="E718:F718"/>
    <mergeCell ref="G718:H718"/>
    <mergeCell ref="I718:J718"/>
    <mergeCell ref="A719:D719"/>
    <mergeCell ref="E719:F719"/>
    <mergeCell ref="G719:H719"/>
    <mergeCell ref="I719:J719"/>
    <mergeCell ref="A716:D716"/>
    <mergeCell ref="E716:F716"/>
    <mergeCell ref="G716:H716"/>
    <mergeCell ref="I716:J716"/>
    <mergeCell ref="A717:D717"/>
    <mergeCell ref="E717:F717"/>
    <mergeCell ref="G717:H717"/>
    <mergeCell ref="I717:J717"/>
    <mergeCell ref="E714:F714"/>
    <mergeCell ref="G714:H714"/>
    <mergeCell ref="I714:J714"/>
    <mergeCell ref="A715:D715"/>
    <mergeCell ref="E715:F715"/>
    <mergeCell ref="G715:H715"/>
    <mergeCell ref="I715:J715"/>
    <mergeCell ref="A710:J710"/>
    <mergeCell ref="A711:D711"/>
    <mergeCell ref="E711:J712"/>
    <mergeCell ref="A712:D712"/>
    <mergeCell ref="A713:D713"/>
    <mergeCell ref="E713:J713"/>
    <mergeCell ref="A672:J672"/>
    <mergeCell ref="A673:J673"/>
    <mergeCell ref="A674:J674"/>
    <mergeCell ref="A675:J675"/>
    <mergeCell ref="A676:J706"/>
    <mergeCell ref="A708:G708"/>
    <mergeCell ref="H708:J708"/>
    <mergeCell ref="A670:D670"/>
    <mergeCell ref="E670:F670"/>
    <mergeCell ref="G670:H670"/>
    <mergeCell ref="I670:J670"/>
    <mergeCell ref="A671:D671"/>
    <mergeCell ref="E671:F671"/>
    <mergeCell ref="G671:H671"/>
    <mergeCell ref="I671:J671"/>
    <mergeCell ref="A668:D668"/>
    <mergeCell ref="E668:F668"/>
    <mergeCell ref="G668:H668"/>
    <mergeCell ref="I668:J668"/>
    <mergeCell ref="A669:D669"/>
    <mergeCell ref="E669:F669"/>
    <mergeCell ref="G669:H669"/>
    <mergeCell ref="I669:J669"/>
    <mergeCell ref="A666:D666"/>
    <mergeCell ref="E666:F666"/>
    <mergeCell ref="G666:H666"/>
    <mergeCell ref="I666:J666"/>
    <mergeCell ref="A667:D667"/>
    <mergeCell ref="E667:F667"/>
    <mergeCell ref="G667:H667"/>
    <mergeCell ref="I667:J667"/>
    <mergeCell ref="A664:D664"/>
    <mergeCell ref="E664:F664"/>
    <mergeCell ref="G664:H664"/>
    <mergeCell ref="I664:J664"/>
    <mergeCell ref="A665:D665"/>
    <mergeCell ref="E665:F665"/>
    <mergeCell ref="G665:H665"/>
    <mergeCell ref="I665:J665"/>
    <mergeCell ref="A662:D662"/>
    <mergeCell ref="E662:F662"/>
    <mergeCell ref="G662:H662"/>
    <mergeCell ref="I662:J662"/>
    <mergeCell ref="A663:D663"/>
    <mergeCell ref="E663:F663"/>
    <mergeCell ref="G663:H663"/>
    <mergeCell ref="I663:J663"/>
    <mergeCell ref="E660:F660"/>
    <mergeCell ref="G660:H660"/>
    <mergeCell ref="I660:J660"/>
    <mergeCell ref="A661:D661"/>
    <mergeCell ref="E661:F661"/>
    <mergeCell ref="G661:H661"/>
    <mergeCell ref="I661:J661"/>
    <mergeCell ref="A656:J656"/>
    <mergeCell ref="A657:D657"/>
    <mergeCell ref="E657:J658"/>
    <mergeCell ref="A658:D658"/>
    <mergeCell ref="A659:D659"/>
    <mergeCell ref="E659:J659"/>
    <mergeCell ref="A618:J618"/>
    <mergeCell ref="A619:J619"/>
    <mergeCell ref="A620:J620"/>
    <mergeCell ref="A621:J621"/>
    <mergeCell ref="A622:J652"/>
    <mergeCell ref="A654:G654"/>
    <mergeCell ref="H654:J654"/>
    <mergeCell ref="A616:D616"/>
    <mergeCell ref="E616:F616"/>
    <mergeCell ref="G616:H616"/>
    <mergeCell ref="I616:J616"/>
    <mergeCell ref="A617:D617"/>
    <mergeCell ref="E617:F617"/>
    <mergeCell ref="G617:H617"/>
    <mergeCell ref="I617:J617"/>
    <mergeCell ref="A614:D614"/>
    <mergeCell ref="E614:F614"/>
    <mergeCell ref="G614:H614"/>
    <mergeCell ref="I614:J614"/>
    <mergeCell ref="A615:D615"/>
    <mergeCell ref="E615:F615"/>
    <mergeCell ref="G615:H615"/>
    <mergeCell ref="I615:J615"/>
    <mergeCell ref="A612:D612"/>
    <mergeCell ref="E612:F612"/>
    <mergeCell ref="G612:H612"/>
    <mergeCell ref="I612:J612"/>
    <mergeCell ref="A613:D613"/>
    <mergeCell ref="E613:F613"/>
    <mergeCell ref="G613:H613"/>
    <mergeCell ref="I613:J613"/>
    <mergeCell ref="A610:D610"/>
    <mergeCell ref="E610:F610"/>
    <mergeCell ref="G610:H610"/>
    <mergeCell ref="I610:J610"/>
    <mergeCell ref="A611:D611"/>
    <mergeCell ref="E611:F611"/>
    <mergeCell ref="G611:H611"/>
    <mergeCell ref="I611:J611"/>
    <mergeCell ref="A608:D608"/>
    <mergeCell ref="E608:F608"/>
    <mergeCell ref="G608:H608"/>
    <mergeCell ref="I608:J608"/>
    <mergeCell ref="A609:D609"/>
    <mergeCell ref="E609:F609"/>
    <mergeCell ref="G609:H609"/>
    <mergeCell ref="I609:J609"/>
    <mergeCell ref="E606:F606"/>
    <mergeCell ref="G606:H606"/>
    <mergeCell ref="I606:J606"/>
    <mergeCell ref="A607:D607"/>
    <mergeCell ref="E607:F607"/>
    <mergeCell ref="G607:H607"/>
    <mergeCell ref="I607:J607"/>
    <mergeCell ref="A602:J602"/>
    <mergeCell ref="A603:D603"/>
    <mergeCell ref="E603:J604"/>
    <mergeCell ref="A604:D604"/>
    <mergeCell ref="A605:D605"/>
    <mergeCell ref="E605:J605"/>
    <mergeCell ref="A564:J564"/>
    <mergeCell ref="A565:J565"/>
    <mergeCell ref="A566:J566"/>
    <mergeCell ref="A567:J567"/>
    <mergeCell ref="A568:J598"/>
    <mergeCell ref="A600:G600"/>
    <mergeCell ref="H600:J600"/>
    <mergeCell ref="A562:D562"/>
    <mergeCell ref="E562:F562"/>
    <mergeCell ref="G562:H562"/>
    <mergeCell ref="I562:J562"/>
    <mergeCell ref="A563:D563"/>
    <mergeCell ref="E563:F563"/>
    <mergeCell ref="G563:H563"/>
    <mergeCell ref="I563:J563"/>
    <mergeCell ref="A560:D560"/>
    <mergeCell ref="E560:F560"/>
    <mergeCell ref="G560:H560"/>
    <mergeCell ref="I560:J560"/>
    <mergeCell ref="A561:D561"/>
    <mergeCell ref="E561:F561"/>
    <mergeCell ref="G561:H561"/>
    <mergeCell ref="I561:J561"/>
    <mergeCell ref="A558:D558"/>
    <mergeCell ref="E558:F558"/>
    <mergeCell ref="G558:H558"/>
    <mergeCell ref="I558:J558"/>
    <mergeCell ref="A559:D559"/>
    <mergeCell ref="E559:F559"/>
    <mergeCell ref="G559:H559"/>
    <mergeCell ref="I559:J559"/>
    <mergeCell ref="A556:D556"/>
    <mergeCell ref="E556:F556"/>
    <mergeCell ref="G556:H556"/>
    <mergeCell ref="I556:J556"/>
    <mergeCell ref="A557:D557"/>
    <mergeCell ref="E557:F557"/>
    <mergeCell ref="G557:H557"/>
    <mergeCell ref="I557:J557"/>
    <mergeCell ref="A554:D554"/>
    <mergeCell ref="E554:F554"/>
    <mergeCell ref="G554:H554"/>
    <mergeCell ref="I554:J554"/>
    <mergeCell ref="A555:D555"/>
    <mergeCell ref="E555:F555"/>
    <mergeCell ref="G555:H555"/>
    <mergeCell ref="I555:J555"/>
    <mergeCell ref="E552:F552"/>
    <mergeCell ref="G552:H552"/>
    <mergeCell ref="I552:J552"/>
    <mergeCell ref="A553:D553"/>
    <mergeCell ref="E553:F553"/>
    <mergeCell ref="G553:H553"/>
    <mergeCell ref="I553:J553"/>
    <mergeCell ref="A548:J548"/>
    <mergeCell ref="A549:D549"/>
    <mergeCell ref="E549:J550"/>
    <mergeCell ref="A550:D550"/>
    <mergeCell ref="A551:D551"/>
    <mergeCell ref="E551:J551"/>
    <mergeCell ref="A510:J510"/>
    <mergeCell ref="A511:J511"/>
    <mergeCell ref="A512:J512"/>
    <mergeCell ref="A513:J513"/>
    <mergeCell ref="A514:J544"/>
    <mergeCell ref="A546:G546"/>
    <mergeCell ref="H546:J546"/>
    <mergeCell ref="A508:D508"/>
    <mergeCell ref="E508:F508"/>
    <mergeCell ref="G508:H508"/>
    <mergeCell ref="I508:J508"/>
    <mergeCell ref="A509:D509"/>
    <mergeCell ref="E509:F509"/>
    <mergeCell ref="G509:H509"/>
    <mergeCell ref="I509:J509"/>
    <mergeCell ref="A506:D506"/>
    <mergeCell ref="E506:F506"/>
    <mergeCell ref="G506:H506"/>
    <mergeCell ref="I506:J506"/>
    <mergeCell ref="A507:D507"/>
    <mergeCell ref="E507:F507"/>
    <mergeCell ref="G507:H507"/>
    <mergeCell ref="I507:J507"/>
    <mergeCell ref="A504:D504"/>
    <mergeCell ref="E504:F504"/>
    <mergeCell ref="G504:H504"/>
    <mergeCell ref="I504:J504"/>
    <mergeCell ref="A505:D505"/>
    <mergeCell ref="E505:F505"/>
    <mergeCell ref="G505:H505"/>
    <mergeCell ref="I505:J505"/>
    <mergeCell ref="A502:D502"/>
    <mergeCell ref="E502:F502"/>
    <mergeCell ref="G502:H502"/>
    <mergeCell ref="I502:J502"/>
    <mergeCell ref="A503:D503"/>
    <mergeCell ref="E503:F503"/>
    <mergeCell ref="G503:H503"/>
    <mergeCell ref="I503:J503"/>
    <mergeCell ref="A500:D500"/>
    <mergeCell ref="E500:F500"/>
    <mergeCell ref="G500:H500"/>
    <mergeCell ref="I500:J500"/>
    <mergeCell ref="A501:D501"/>
    <mergeCell ref="E501:F501"/>
    <mergeCell ref="G501:H501"/>
    <mergeCell ref="I501:J501"/>
    <mergeCell ref="E498:F498"/>
    <mergeCell ref="G498:H498"/>
    <mergeCell ref="I498:J498"/>
    <mergeCell ref="A499:D499"/>
    <mergeCell ref="E499:F499"/>
    <mergeCell ref="G499:H499"/>
    <mergeCell ref="I499:J499"/>
    <mergeCell ref="A494:J494"/>
    <mergeCell ref="A495:D495"/>
    <mergeCell ref="E495:J496"/>
    <mergeCell ref="A496:D496"/>
    <mergeCell ref="A497:D497"/>
    <mergeCell ref="E497:J497"/>
    <mergeCell ref="A456:J456"/>
    <mergeCell ref="A457:J457"/>
    <mergeCell ref="A458:J458"/>
    <mergeCell ref="A459:J459"/>
    <mergeCell ref="A460:J490"/>
    <mergeCell ref="A492:G492"/>
    <mergeCell ref="H492:J492"/>
    <mergeCell ref="A454:D454"/>
    <mergeCell ref="E454:F454"/>
    <mergeCell ref="G454:H454"/>
    <mergeCell ref="I454:J454"/>
    <mergeCell ref="A455:D455"/>
    <mergeCell ref="E455:F455"/>
    <mergeCell ref="G455:H455"/>
    <mergeCell ref="I455:J455"/>
    <mergeCell ref="A452:D452"/>
    <mergeCell ref="E452:F452"/>
    <mergeCell ref="G452:H452"/>
    <mergeCell ref="I452:J452"/>
    <mergeCell ref="A453:D453"/>
    <mergeCell ref="E453:F453"/>
    <mergeCell ref="G453:H453"/>
    <mergeCell ref="I453:J453"/>
    <mergeCell ref="A450:D450"/>
    <mergeCell ref="E450:F450"/>
    <mergeCell ref="G450:H450"/>
    <mergeCell ref="I450:J450"/>
    <mergeCell ref="A451:D451"/>
    <mergeCell ref="E451:F451"/>
    <mergeCell ref="G451:H451"/>
    <mergeCell ref="I451:J451"/>
    <mergeCell ref="A448:D448"/>
    <mergeCell ref="E448:F448"/>
    <mergeCell ref="G448:H448"/>
    <mergeCell ref="I448:J448"/>
    <mergeCell ref="A449:D449"/>
    <mergeCell ref="E449:F449"/>
    <mergeCell ref="G449:H449"/>
    <mergeCell ref="I449:J449"/>
    <mergeCell ref="A446:D446"/>
    <mergeCell ref="E446:F446"/>
    <mergeCell ref="G446:H446"/>
    <mergeCell ref="I446:J446"/>
    <mergeCell ref="A447:D447"/>
    <mergeCell ref="E447:F447"/>
    <mergeCell ref="G447:H447"/>
    <mergeCell ref="I447:J447"/>
    <mergeCell ref="E444:F444"/>
    <mergeCell ref="G444:H444"/>
    <mergeCell ref="I444:J444"/>
    <mergeCell ref="A445:D445"/>
    <mergeCell ref="E445:F445"/>
    <mergeCell ref="G445:H445"/>
    <mergeCell ref="I445:J445"/>
    <mergeCell ref="A440:J440"/>
    <mergeCell ref="A441:D441"/>
    <mergeCell ref="E441:J442"/>
    <mergeCell ref="A442:D442"/>
    <mergeCell ref="A443:D443"/>
    <mergeCell ref="E443:J443"/>
    <mergeCell ref="A402:J402"/>
    <mergeCell ref="A403:J403"/>
    <mergeCell ref="A404:J404"/>
    <mergeCell ref="A405:J405"/>
    <mergeCell ref="A406:J436"/>
    <mergeCell ref="A438:G438"/>
    <mergeCell ref="H438:J438"/>
    <mergeCell ref="A400:D400"/>
    <mergeCell ref="E400:F400"/>
    <mergeCell ref="G400:H400"/>
    <mergeCell ref="I400:J400"/>
    <mergeCell ref="A401:D401"/>
    <mergeCell ref="E401:F401"/>
    <mergeCell ref="G401:H401"/>
    <mergeCell ref="I401:J401"/>
    <mergeCell ref="A398:D398"/>
    <mergeCell ref="E398:F398"/>
    <mergeCell ref="G398:H398"/>
    <mergeCell ref="I398:J398"/>
    <mergeCell ref="A399:D399"/>
    <mergeCell ref="E399:F399"/>
    <mergeCell ref="G399:H399"/>
    <mergeCell ref="I399:J399"/>
    <mergeCell ref="A396:D396"/>
    <mergeCell ref="E396:F396"/>
    <mergeCell ref="G396:H396"/>
    <mergeCell ref="I396:J396"/>
    <mergeCell ref="A397:D397"/>
    <mergeCell ref="E397:F397"/>
    <mergeCell ref="G397:H397"/>
    <mergeCell ref="I397:J397"/>
    <mergeCell ref="A394:D394"/>
    <mergeCell ref="E394:F394"/>
    <mergeCell ref="G394:H394"/>
    <mergeCell ref="I394:J394"/>
    <mergeCell ref="A395:D395"/>
    <mergeCell ref="E395:F395"/>
    <mergeCell ref="G395:H395"/>
    <mergeCell ref="I395:J395"/>
    <mergeCell ref="A392:D392"/>
    <mergeCell ref="E392:F392"/>
    <mergeCell ref="G392:H392"/>
    <mergeCell ref="I392:J392"/>
    <mergeCell ref="A393:D393"/>
    <mergeCell ref="E393:F393"/>
    <mergeCell ref="G393:H393"/>
    <mergeCell ref="I393:J393"/>
    <mergeCell ref="E390:F390"/>
    <mergeCell ref="G390:H390"/>
    <mergeCell ref="I390:J390"/>
    <mergeCell ref="A391:D391"/>
    <mergeCell ref="E391:F391"/>
    <mergeCell ref="G391:H391"/>
    <mergeCell ref="I391:J391"/>
    <mergeCell ref="A386:J386"/>
    <mergeCell ref="A387:D387"/>
    <mergeCell ref="E387:J388"/>
    <mergeCell ref="A388:D388"/>
    <mergeCell ref="A389:D389"/>
    <mergeCell ref="E389:J389"/>
    <mergeCell ref="A348:J348"/>
    <mergeCell ref="A349:J349"/>
    <mergeCell ref="A350:J350"/>
    <mergeCell ref="A351:J351"/>
    <mergeCell ref="A352:J382"/>
    <mergeCell ref="A384:G384"/>
    <mergeCell ref="H384:J384"/>
    <mergeCell ref="A346:D346"/>
    <mergeCell ref="E346:F346"/>
    <mergeCell ref="G346:H346"/>
    <mergeCell ref="I346:J346"/>
    <mergeCell ref="A347:D347"/>
    <mergeCell ref="E347:F347"/>
    <mergeCell ref="G347:H347"/>
    <mergeCell ref="I347:J347"/>
    <mergeCell ref="A344:D344"/>
    <mergeCell ref="E344:F344"/>
    <mergeCell ref="G344:H344"/>
    <mergeCell ref="I344:J344"/>
    <mergeCell ref="A345:D345"/>
    <mergeCell ref="E345:F345"/>
    <mergeCell ref="G345:H345"/>
    <mergeCell ref="I345:J345"/>
    <mergeCell ref="A342:D342"/>
    <mergeCell ref="E342:F342"/>
    <mergeCell ref="G342:H342"/>
    <mergeCell ref="I342:J342"/>
    <mergeCell ref="A343:D343"/>
    <mergeCell ref="E343:F343"/>
    <mergeCell ref="G343:H343"/>
    <mergeCell ref="I343:J343"/>
    <mergeCell ref="A340:D340"/>
    <mergeCell ref="E340:F340"/>
    <mergeCell ref="G340:H340"/>
    <mergeCell ref="I340:J340"/>
    <mergeCell ref="A341:D341"/>
    <mergeCell ref="E341:F341"/>
    <mergeCell ref="G341:H341"/>
    <mergeCell ref="I341:J341"/>
    <mergeCell ref="A339:D339"/>
    <mergeCell ref="E339:F339"/>
    <mergeCell ref="G339:H339"/>
    <mergeCell ref="I339:J339"/>
    <mergeCell ref="E336:F336"/>
    <mergeCell ref="G336:H336"/>
    <mergeCell ref="I336:J336"/>
    <mergeCell ref="A337:D337"/>
    <mergeCell ref="E337:F337"/>
    <mergeCell ref="G337:H337"/>
    <mergeCell ref="I337:J337"/>
    <mergeCell ref="A332:J332"/>
    <mergeCell ref="A333:D333"/>
    <mergeCell ref="E333:J334"/>
    <mergeCell ref="A334:D334"/>
    <mergeCell ref="A335:D335"/>
    <mergeCell ref="E335:J335"/>
    <mergeCell ref="A295:J295"/>
    <mergeCell ref="A296:J296"/>
    <mergeCell ref="A297:J297"/>
    <mergeCell ref="A298:J298"/>
    <mergeCell ref="A299:J328"/>
    <mergeCell ref="A330:G330"/>
    <mergeCell ref="H330:J330"/>
    <mergeCell ref="A293:D293"/>
    <mergeCell ref="E293:F293"/>
    <mergeCell ref="G293:H293"/>
    <mergeCell ref="I293:J293"/>
    <mergeCell ref="A294:D294"/>
    <mergeCell ref="E294:F294"/>
    <mergeCell ref="G294:H294"/>
    <mergeCell ref="I294:J294"/>
    <mergeCell ref="A291:D291"/>
    <mergeCell ref="E291:F291"/>
    <mergeCell ref="G291:H291"/>
    <mergeCell ref="I291:J291"/>
    <mergeCell ref="A292:D292"/>
    <mergeCell ref="E292:F292"/>
    <mergeCell ref="G292:H292"/>
    <mergeCell ref="I292:J292"/>
    <mergeCell ref="A289:D289"/>
    <mergeCell ref="E289:F289"/>
    <mergeCell ref="G289:H289"/>
    <mergeCell ref="I289:J289"/>
    <mergeCell ref="A290:D290"/>
    <mergeCell ref="E290:F290"/>
    <mergeCell ref="G290:H290"/>
    <mergeCell ref="I290:J290"/>
    <mergeCell ref="A287:D287"/>
    <mergeCell ref="E287:F287"/>
    <mergeCell ref="G287:H287"/>
    <mergeCell ref="I287:J287"/>
    <mergeCell ref="A288:D288"/>
    <mergeCell ref="E288:F288"/>
    <mergeCell ref="G288:H288"/>
    <mergeCell ref="I288:J288"/>
    <mergeCell ref="A285:D285"/>
    <mergeCell ref="E285:F285"/>
    <mergeCell ref="G285:H285"/>
    <mergeCell ref="I285:J285"/>
    <mergeCell ref="A286:D286"/>
    <mergeCell ref="E286:F286"/>
    <mergeCell ref="G286:H286"/>
    <mergeCell ref="I286:J286"/>
    <mergeCell ref="A282:D282"/>
    <mergeCell ref="E282:J282"/>
    <mergeCell ref="E283:F283"/>
    <mergeCell ref="G283:H283"/>
    <mergeCell ref="I283:J283"/>
    <mergeCell ref="A284:D284"/>
    <mergeCell ref="E284:F284"/>
    <mergeCell ref="G284:H284"/>
    <mergeCell ref="I284:J284"/>
    <mergeCell ref="A238:D238"/>
    <mergeCell ref="E238:F238"/>
    <mergeCell ref="G238:H238"/>
    <mergeCell ref="I238:J238"/>
    <mergeCell ref="A277:G277"/>
    <mergeCell ref="H277:J277"/>
    <mergeCell ref="A279:J279"/>
    <mergeCell ref="A280:D280"/>
    <mergeCell ref="E280:J281"/>
    <mergeCell ref="A281:D281"/>
    <mergeCell ref="A241:J241"/>
    <mergeCell ref="A242:J242"/>
    <mergeCell ref="A243:J243"/>
    <mergeCell ref="A244:J275"/>
    <mergeCell ref="A239:D239"/>
    <mergeCell ref="E239:F239"/>
    <mergeCell ref="G239:H239"/>
    <mergeCell ref="I239:J239"/>
    <mergeCell ref="A240:J240"/>
    <mergeCell ref="E233:F233"/>
    <mergeCell ref="G233:H233"/>
    <mergeCell ref="I233:J233"/>
    <mergeCell ref="A234:D234"/>
    <mergeCell ref="A236:D236"/>
    <mergeCell ref="E236:F236"/>
    <mergeCell ref="G236:H236"/>
    <mergeCell ref="I236:J236"/>
    <mergeCell ref="A237:D237"/>
    <mergeCell ref="E237:F237"/>
    <mergeCell ref="G237:H237"/>
    <mergeCell ref="I237:J237"/>
    <mergeCell ref="E229:F229"/>
    <mergeCell ref="G229:H229"/>
    <mergeCell ref="I229:J229"/>
    <mergeCell ref="A229:D229"/>
    <mergeCell ref="E234:F234"/>
    <mergeCell ref="G234:H234"/>
    <mergeCell ref="I234:J234"/>
    <mergeCell ref="A235:D235"/>
    <mergeCell ref="E235:F235"/>
    <mergeCell ref="G235:H235"/>
    <mergeCell ref="I235:J235"/>
    <mergeCell ref="A230:D230"/>
    <mergeCell ref="E230:F230"/>
    <mergeCell ref="G230:H230"/>
    <mergeCell ref="I230:J230"/>
    <mergeCell ref="A231:D231"/>
    <mergeCell ref="E231:F231"/>
    <mergeCell ref="G231:H231"/>
    <mergeCell ref="I231:J231"/>
    <mergeCell ref="A232:D232"/>
    <mergeCell ref="E232:F232"/>
    <mergeCell ref="G232:H232"/>
    <mergeCell ref="I232:J232"/>
    <mergeCell ref="A233:D233"/>
    <mergeCell ref="A183:D183"/>
    <mergeCell ref="E183:F183"/>
    <mergeCell ref="G183:H183"/>
    <mergeCell ref="I183:J183"/>
    <mergeCell ref="A184:D184"/>
    <mergeCell ref="E184:F184"/>
    <mergeCell ref="G184:H184"/>
    <mergeCell ref="I184:J184"/>
    <mergeCell ref="A226:D226"/>
    <mergeCell ref="A222:G222"/>
    <mergeCell ref="H222:J222"/>
    <mergeCell ref="A224:J224"/>
    <mergeCell ref="A225:D225"/>
    <mergeCell ref="E225:J226"/>
    <mergeCell ref="A180:D180"/>
    <mergeCell ref="E180:F180"/>
    <mergeCell ref="G180:H180"/>
    <mergeCell ref="I180:J180"/>
    <mergeCell ref="A181:D181"/>
    <mergeCell ref="E181:F181"/>
    <mergeCell ref="G181:H181"/>
    <mergeCell ref="I181:J181"/>
    <mergeCell ref="A182:D182"/>
    <mergeCell ref="E182:F182"/>
    <mergeCell ref="G182:H182"/>
    <mergeCell ref="I182:J182"/>
    <mergeCell ref="A177:D177"/>
    <mergeCell ref="E177:F177"/>
    <mergeCell ref="G177:H177"/>
    <mergeCell ref="I177:J177"/>
    <mergeCell ref="A178:D178"/>
    <mergeCell ref="E178:F178"/>
    <mergeCell ref="G178:H178"/>
    <mergeCell ref="I178:J178"/>
    <mergeCell ref="A179:D179"/>
    <mergeCell ref="E179:F179"/>
    <mergeCell ref="G179:H179"/>
    <mergeCell ref="I179:J179"/>
    <mergeCell ref="E174:F174"/>
    <mergeCell ref="G174:H174"/>
    <mergeCell ref="I174:J174"/>
    <mergeCell ref="A175:D175"/>
    <mergeCell ref="E175:F175"/>
    <mergeCell ref="G175:H175"/>
    <mergeCell ref="I175:J175"/>
    <mergeCell ref="A176:D176"/>
    <mergeCell ref="E176:F176"/>
    <mergeCell ref="G176:H176"/>
    <mergeCell ref="I176:J176"/>
    <mergeCell ref="A171:D171"/>
    <mergeCell ref="A172:D172"/>
    <mergeCell ref="A129:D129"/>
    <mergeCell ref="E129:F129"/>
    <mergeCell ref="G129:H129"/>
    <mergeCell ref="I129:J129"/>
    <mergeCell ref="A131:J131"/>
    <mergeCell ref="A169:J169"/>
    <mergeCell ref="A170:D170"/>
    <mergeCell ref="E170:J171"/>
    <mergeCell ref="A130:J130"/>
    <mergeCell ref="A128:D128"/>
    <mergeCell ref="E128:F128"/>
    <mergeCell ref="G128:H128"/>
    <mergeCell ref="I128:J128"/>
    <mergeCell ref="A123:D123"/>
    <mergeCell ref="E123:F123"/>
    <mergeCell ref="G123:H123"/>
    <mergeCell ref="I123:J123"/>
    <mergeCell ref="A124:D124"/>
    <mergeCell ref="E124:F124"/>
    <mergeCell ref="G124:H124"/>
    <mergeCell ref="I124:J124"/>
    <mergeCell ref="A125:D125"/>
    <mergeCell ref="E125:F125"/>
    <mergeCell ref="G125:H125"/>
    <mergeCell ref="I125:J125"/>
    <mergeCell ref="A126:D126"/>
    <mergeCell ref="E126:F126"/>
    <mergeCell ref="G126:H126"/>
    <mergeCell ref="I126:J126"/>
    <mergeCell ref="A127:D127"/>
    <mergeCell ref="A121:D121"/>
    <mergeCell ref="E121:F121"/>
    <mergeCell ref="G121:H121"/>
    <mergeCell ref="I121:J121"/>
    <mergeCell ref="A122:D122"/>
    <mergeCell ref="E122:F122"/>
    <mergeCell ref="G122:H122"/>
    <mergeCell ref="I122:J122"/>
    <mergeCell ref="E127:F127"/>
    <mergeCell ref="G127:H127"/>
    <mergeCell ref="I127:J127"/>
    <mergeCell ref="A71:D71"/>
    <mergeCell ref="E71:F71"/>
    <mergeCell ref="G71:H71"/>
    <mergeCell ref="I71:J71"/>
    <mergeCell ref="A72:D72"/>
    <mergeCell ref="E72:F72"/>
    <mergeCell ref="G72:H72"/>
    <mergeCell ref="I72:J72"/>
    <mergeCell ref="A73:D73"/>
    <mergeCell ref="E73:F73"/>
    <mergeCell ref="G73:H73"/>
    <mergeCell ref="I73:J73"/>
    <mergeCell ref="A68:D68"/>
    <mergeCell ref="E68:F68"/>
    <mergeCell ref="G68:H68"/>
    <mergeCell ref="I68:J68"/>
    <mergeCell ref="A69:D69"/>
    <mergeCell ref="E69:F69"/>
    <mergeCell ref="G69:H69"/>
    <mergeCell ref="I69:J69"/>
    <mergeCell ref="A70:D70"/>
    <mergeCell ref="E70:F70"/>
    <mergeCell ref="G70:H70"/>
    <mergeCell ref="I70:J70"/>
    <mergeCell ref="I338:J338"/>
    <mergeCell ref="G338:H338"/>
    <mergeCell ref="E338:F338"/>
    <mergeCell ref="A338:D338"/>
    <mergeCell ref="A74:J74"/>
    <mergeCell ref="A75:J75"/>
    <mergeCell ref="A76:J76"/>
    <mergeCell ref="A77:J77"/>
    <mergeCell ref="A78:J110"/>
    <mergeCell ref="A185:J185"/>
    <mergeCell ref="A186:J186"/>
    <mergeCell ref="A187:J187"/>
    <mergeCell ref="A188:J188"/>
    <mergeCell ref="A189:J220"/>
    <mergeCell ref="E172:J172"/>
    <mergeCell ref="E173:F173"/>
    <mergeCell ref="G173:H173"/>
    <mergeCell ref="I173:J173"/>
    <mergeCell ref="A174:D174"/>
    <mergeCell ref="A132:J132"/>
    <mergeCell ref="A133:J133"/>
    <mergeCell ref="A134:J165"/>
    <mergeCell ref="A167:G167"/>
    <mergeCell ref="H167:J167"/>
    <mergeCell ref="A67:D67"/>
    <mergeCell ref="E67:F67"/>
    <mergeCell ref="G67:H67"/>
    <mergeCell ref="I67:J67"/>
    <mergeCell ref="A64:D64"/>
    <mergeCell ref="E64:F64"/>
    <mergeCell ref="G64:H64"/>
    <mergeCell ref="I64:J64"/>
    <mergeCell ref="A65:D65"/>
    <mergeCell ref="E65:F65"/>
    <mergeCell ref="G65:H65"/>
    <mergeCell ref="I65:J65"/>
    <mergeCell ref="A66:D66"/>
    <mergeCell ref="E66:F66"/>
    <mergeCell ref="G66:H66"/>
    <mergeCell ref="I66:J66"/>
    <mergeCell ref="A61:D61"/>
    <mergeCell ref="E61:J61"/>
    <mergeCell ref="E62:F62"/>
    <mergeCell ref="G62:H62"/>
    <mergeCell ref="I62:J62"/>
    <mergeCell ref="A63:D63"/>
    <mergeCell ref="E63:F63"/>
    <mergeCell ref="G63:H63"/>
    <mergeCell ref="I63:J63"/>
    <mergeCell ref="A20:J20"/>
    <mergeCell ref="A21:J21"/>
    <mergeCell ref="A22:J22"/>
    <mergeCell ref="A23:J54"/>
    <mergeCell ref="A56:G56"/>
    <mergeCell ref="H56:J56"/>
    <mergeCell ref="A58:J58"/>
    <mergeCell ref="A59:D59"/>
    <mergeCell ref="E59:J60"/>
    <mergeCell ref="A60:D60"/>
    <mergeCell ref="A17:D17"/>
    <mergeCell ref="E17:F17"/>
    <mergeCell ref="G17:H17"/>
    <mergeCell ref="I17:J17"/>
    <mergeCell ref="A18:D18"/>
    <mergeCell ref="E18:F18"/>
    <mergeCell ref="G18:H18"/>
    <mergeCell ref="I18:J18"/>
    <mergeCell ref="A19:J19"/>
    <mergeCell ref="A14:D14"/>
    <mergeCell ref="E14:F14"/>
    <mergeCell ref="G14:H14"/>
    <mergeCell ref="I14:J14"/>
    <mergeCell ref="A15:D15"/>
    <mergeCell ref="E15:F15"/>
    <mergeCell ref="G15:H15"/>
    <mergeCell ref="I15:J15"/>
    <mergeCell ref="A16:D16"/>
    <mergeCell ref="E16:F16"/>
    <mergeCell ref="G16:H16"/>
    <mergeCell ref="I16:J16"/>
    <mergeCell ref="A11:D11"/>
    <mergeCell ref="E11:F11"/>
    <mergeCell ref="G11:H11"/>
    <mergeCell ref="I11:J11"/>
    <mergeCell ref="A12:D12"/>
    <mergeCell ref="E12:F12"/>
    <mergeCell ref="G12:H12"/>
    <mergeCell ref="I12:J12"/>
    <mergeCell ref="A13:D13"/>
    <mergeCell ref="E13:F13"/>
    <mergeCell ref="G13:H13"/>
    <mergeCell ref="I13:J13"/>
    <mergeCell ref="A9:D9"/>
    <mergeCell ref="E9:F9"/>
    <mergeCell ref="G9:H9"/>
    <mergeCell ref="I9:J9"/>
    <mergeCell ref="A10:D10"/>
    <mergeCell ref="E10:F10"/>
    <mergeCell ref="G10:H10"/>
    <mergeCell ref="I10:J10"/>
    <mergeCell ref="A1:G1"/>
    <mergeCell ref="H1:J1"/>
    <mergeCell ref="A3:J3"/>
    <mergeCell ref="A4:D4"/>
    <mergeCell ref="E4:J5"/>
    <mergeCell ref="E6:J6"/>
    <mergeCell ref="E7:F7"/>
    <mergeCell ref="G7:H7"/>
    <mergeCell ref="I7:J7"/>
    <mergeCell ref="A5:D5"/>
    <mergeCell ref="A6:D6"/>
    <mergeCell ref="E8:F8"/>
    <mergeCell ref="G8:H8"/>
    <mergeCell ref="I8:J8"/>
    <mergeCell ref="A8:D8"/>
    <mergeCell ref="E227:J227"/>
    <mergeCell ref="E228:F228"/>
    <mergeCell ref="G228:H228"/>
    <mergeCell ref="I228:J228"/>
    <mergeCell ref="A227:D227"/>
    <mergeCell ref="A112:G112"/>
    <mergeCell ref="H112:J112"/>
    <mergeCell ref="A114:J114"/>
    <mergeCell ref="A115:D115"/>
    <mergeCell ref="E115:J116"/>
    <mergeCell ref="E117:J117"/>
    <mergeCell ref="E118:F118"/>
    <mergeCell ref="G118:H118"/>
    <mergeCell ref="I118:J118"/>
    <mergeCell ref="A116:D116"/>
    <mergeCell ref="A117:D117"/>
    <mergeCell ref="E119:F119"/>
    <mergeCell ref="G119:H119"/>
    <mergeCell ref="I119:J119"/>
    <mergeCell ref="A119:D119"/>
    <mergeCell ref="A120:D120"/>
    <mergeCell ref="E120:F120"/>
    <mergeCell ref="G120:H120"/>
    <mergeCell ref="I120:J120"/>
  </mergeCells>
  <dataValidations xWindow="838" yWindow="390" count="11">
    <dataValidation allowBlank="1" showInputMessage="1" showErrorMessage="1" error="Entries not permitted in this cell." prompt="Leave cell blank." sqref="E290:J290 E343:J343 E397:J397 E451:J451 E505:J505 E559:J559 E613:J613 E667:J667 E721:J721 E775:J775 E14:J14 E69:J69 E125:J125 E180:J180 E235:J235" xr:uid="{00000000-0002-0000-0600-000000000000}"/>
    <dataValidation type="whole" allowBlank="1" showInputMessage="1" showErrorMessage="1" error="Must enter amount in whole dollars." sqref="E284:J289 E291:F293 E337:J342 E344:F346 E391:J396 E398:F400 E445:J450 E452:F454 E499:J504 E506:F508 E553:J558 E560:F562 E607:J612 E614:F616 E661:J666 E668:F670 E715:J720 E722:F724 E769:J774 E776:F778 E8:J13 E15:F17 E63:J68 E70:F72 E119:J124 E126:F128 E174:J179 E181:F183 E229:J234 E236:F238" xr:uid="{00000000-0002-0000-0600-000001000000}">
      <formula1>0</formula1>
      <formula2>50000000</formula2>
    </dataValidation>
    <dataValidation type="whole" allowBlank="1" showInputMessage="1" showErrorMessage="1" error="Leave blank or enter amount in whole dollars." sqref="G291:J293 G344:J346 G398:J400 G452:J454 G506:J508 G560:J562 G614:J616 G668:J670 G722:J724 G776:J778 G15:J17 G70:J72 G126:J128 G181:J183 G236:J238" xr:uid="{00000000-0002-0000-0600-000002000000}">
      <formula1>0</formula1>
      <formula2>50000000</formula2>
    </dataValidation>
    <dataValidation type="textLength" allowBlank="1" showInputMessage="1" showErrorMessage="1" prompt="Leave Blank or Describe Other Expenditure. " sqref="A291:D293 A344:D346 A398:D400 A452:D454 A506:D508 A560:D562 A614:D616 A668:D670 A722:D724 A776:D778 A15:D17 A70:D72 A126:D128 A181:D183 A236:D238" xr:uid="{00000000-0002-0000-0600-000003000000}">
      <formula1>1</formula1>
      <formula2>35</formula2>
    </dataValidation>
    <dataValidation allowBlank="1" showInputMessage="1" showErrorMessage="1" error="Total is automatically calculated." prompt=" Amount Automatically Calculated. " sqref="E294:J294 E347:J347 E401:J401 E455:J455 E509:J509 E563:J563 E617:J617 E671:J671 E725:J725 E779:J779 E18:J18 E73:J73 E129:J129 E184:J184 E239:J239" xr:uid="{00000000-0002-0000-0600-000004000000}"/>
    <dataValidation type="list" showInputMessage="1" showErrorMessage="1" prompt="Please select from drop down list." sqref="E282:J282 E335:J335 E389:J389 E443:J443 E497:J497 E551:J551 E605:J605 E659:J659 E713:J713 E767:J767" xr:uid="{00000000-0002-0000-0600-000005000000}">
      <formula1>Expenditures</formula1>
    </dataValidation>
    <dataValidation allowBlank="1" showInputMessage="1" showErrorMessage="1" promptTitle="1)  Double click inside box." prompt="2)  DO NOT EXCEED the space provided as it will not appear when cursor is outside the box or when page is printed._x000a_3)  Press ALT and ENTER to start a new paragraph._x000a_4)  For Spell Check go to REVIEW and click on &quot;ABC Spelling.&quot;_x000a_" sqref="A329:J329" xr:uid="{00000000-0002-0000-0600-000006000000}"/>
    <dataValidation allowBlank="1" showInputMessage="1" showErrorMessage="1" sqref="E225:J226 E59:J60 E4:J5 E170:J171 E115:J116" xr:uid="{00000000-0002-0000-0600-000007000000}"/>
    <dataValidation allowBlank="1" showInputMessage="1" showErrorMessage="1" promptTitle="INSTRUCTIONS:" prompt="1)  Double click inside box to start typing._x000a_2)  DO NOT EXCEED the space provided as it will not appear when page is printed._x000a_3)  Press ALT and ENTER for new paragraph._x000a_4)  REVIEW work for accuracy." sqref="A244:J275 A78:J110 A23:J55 A134:J165 A189:J220" xr:uid="{00000000-0002-0000-0600-000008000000}"/>
    <dataValidation type="list" showInputMessage="1" showErrorMessage="1" prompt="Please select from the drop down list." sqref="E227:J227 E61:J61 E6:J6 E172:J172 E117:J117" xr:uid="{00000000-0002-0000-0600-000009000000}">
      <formula1>Expenditures</formula1>
    </dataValidation>
    <dataValidation allowBlank="1" showInputMessage="1" showErrorMessage="1" promptTitle="INSTRUCTIONS:" prompt="1)  Double click inside box to start typing._x000a_2)  DO NOT EXCEED the space provided as it will not appear when page is printed._x000a_3)  Press ALT and ENTER for new paragraph._x000a_4)  REVIEW work for accuracy._x000a_" sqref="A299:J328 A352:J382 A406:J436 A460:J490 A514:J544 A568:J598 A622:J652 A676:J706 A730:J760 A784:J815" xr:uid="{00000000-0002-0000-0600-00000A000000}"/>
  </dataValidations>
  <pageMargins left="0.7" right="0.7" top="0.75" bottom="0.75" header="0.3" footer="0.3"/>
  <pageSetup orientation="portrait" r:id="rId1"/>
  <headerFooter>
    <oddFooter>&amp;L&amp;8&amp;F</oddFooter>
  </headerFooter>
  <rowBreaks count="1" manualBreakCount="1">
    <brk id="55"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J32"/>
  <sheetViews>
    <sheetView zoomScaleNormal="100" workbookViewId="0">
      <pane ySplit="3" topLeftCell="A16" activePane="bottomLeft" state="frozen"/>
      <selection pane="bottomLeft" activeCell="A4" sqref="A4"/>
    </sheetView>
  </sheetViews>
  <sheetFormatPr defaultRowHeight="13.2" x14ac:dyDescent="0.25"/>
  <cols>
    <col min="1" max="1" width="6.5546875" customWidth="1"/>
    <col min="5" max="5" width="7.77734375" customWidth="1"/>
    <col min="6" max="6" width="6.5546875" customWidth="1"/>
    <col min="7" max="7" width="5.77734375" customWidth="1"/>
  </cols>
  <sheetData>
    <row r="1" spans="1:10" s="43" customFormat="1" ht="36" customHeight="1" thickTop="1" thickBot="1" x14ac:dyDescent="0.45">
      <c r="A1" s="579" t="s">
        <v>830</v>
      </c>
      <c r="B1" s="580"/>
      <c r="C1" s="580"/>
      <c r="D1" s="580"/>
      <c r="E1" s="580"/>
      <c r="F1" s="580"/>
      <c r="G1" s="580"/>
      <c r="H1" s="580"/>
      <c r="I1" s="580"/>
      <c r="J1" s="581"/>
    </row>
    <row r="2" spans="1:10" ht="13.8" thickTop="1" x14ac:dyDescent="0.25">
      <c r="A2" s="39"/>
      <c r="B2" s="39"/>
      <c r="C2" s="39"/>
      <c r="D2" s="39"/>
      <c r="E2" s="39"/>
      <c r="F2" s="39"/>
      <c r="G2" s="39"/>
      <c r="H2" s="39"/>
      <c r="I2" s="39"/>
      <c r="J2" s="39"/>
    </row>
    <row r="3" spans="1:10" ht="15.6" x14ac:dyDescent="0.3">
      <c r="A3" s="351" t="s">
        <v>843</v>
      </c>
      <c r="B3" s="352"/>
      <c r="C3" s="352"/>
      <c r="D3" s="352"/>
      <c r="E3" s="352"/>
      <c r="F3" s="352"/>
      <c r="G3" s="352"/>
      <c r="H3" s="584" t="str">
        <f>'CONTACT INFORMATION'!$A$24</f>
        <v>Fresno</v>
      </c>
      <c r="I3" s="584"/>
      <c r="J3" s="585"/>
    </row>
    <row r="4" spans="1:10" s="1" customFormat="1" ht="15.6" x14ac:dyDescent="0.3">
      <c r="A4" s="147"/>
      <c r="B4" s="147"/>
      <c r="C4" s="147"/>
      <c r="D4" s="147"/>
      <c r="E4" s="147"/>
      <c r="F4" s="147"/>
      <c r="G4" s="147"/>
      <c r="H4" s="172"/>
      <c r="I4" s="172"/>
      <c r="J4" s="172"/>
    </row>
    <row r="5" spans="1:10" ht="15.6" x14ac:dyDescent="0.3">
      <c r="A5" s="57"/>
      <c r="B5" s="57"/>
      <c r="C5" s="57"/>
      <c r="D5" s="57"/>
      <c r="E5" s="57"/>
      <c r="F5" s="57"/>
      <c r="G5" s="57"/>
      <c r="H5" s="57"/>
      <c r="I5" s="57"/>
      <c r="J5" s="57"/>
    </row>
    <row r="6" spans="1:10" ht="74.099999999999994" customHeight="1" x14ac:dyDescent="0.25">
      <c r="A6" s="582" t="s">
        <v>876</v>
      </c>
      <c r="B6" s="583"/>
      <c r="C6" s="583"/>
      <c r="D6" s="583"/>
      <c r="E6" s="583"/>
      <c r="F6" s="583"/>
      <c r="G6" s="583"/>
      <c r="H6" s="583"/>
      <c r="I6" s="583"/>
      <c r="J6" s="583"/>
    </row>
    <row r="7" spans="1:10" x14ac:dyDescent="0.25">
      <c r="A7" s="39"/>
      <c r="B7" s="39"/>
      <c r="C7" s="39"/>
      <c r="D7" s="39"/>
      <c r="E7" s="39"/>
      <c r="F7" s="39"/>
      <c r="G7" s="39"/>
      <c r="H7" s="39"/>
      <c r="I7" s="39"/>
      <c r="J7" s="39"/>
    </row>
    <row r="8" spans="1:10" x14ac:dyDescent="0.25">
      <c r="A8" s="39"/>
      <c r="B8" s="39"/>
      <c r="C8" s="39"/>
      <c r="D8" s="39"/>
      <c r="E8" s="39"/>
      <c r="F8" s="39"/>
      <c r="G8" s="39"/>
      <c r="H8" s="39"/>
      <c r="I8" s="39"/>
      <c r="J8" s="39"/>
    </row>
    <row r="9" spans="1:10" ht="22.5" customHeight="1" x14ac:dyDescent="0.25">
      <c r="A9" s="572" t="s">
        <v>829</v>
      </c>
      <c r="B9" s="572"/>
      <c r="C9" s="573"/>
      <c r="D9" s="129" t="s">
        <v>827</v>
      </c>
      <c r="E9" s="39"/>
      <c r="F9" s="39"/>
      <c r="G9" s="572" t="s">
        <v>816</v>
      </c>
      <c r="H9" s="572"/>
      <c r="I9" s="573"/>
      <c r="J9" s="129" t="s">
        <v>827</v>
      </c>
    </row>
    <row r="10" spans="1:10" ht="13.8" x14ac:dyDescent="0.25">
      <c r="A10" s="575" t="s">
        <v>847</v>
      </c>
      <c r="B10" s="575"/>
      <c r="C10" s="578"/>
      <c r="D10" s="173">
        <f>'REPORT 1'!$I$16</f>
        <v>3048</v>
      </c>
      <c r="E10" s="130"/>
      <c r="F10" s="39"/>
      <c r="G10" s="575" t="s">
        <v>847</v>
      </c>
      <c r="H10" s="575"/>
      <c r="I10" s="578"/>
      <c r="J10" s="174">
        <f>'REPORT 1'!$I$27</f>
        <v>3048</v>
      </c>
    </row>
    <row r="11" spans="1:10" x14ac:dyDescent="0.25">
      <c r="A11" s="39"/>
      <c r="B11" s="39"/>
      <c r="C11" s="39"/>
      <c r="D11" s="39"/>
      <c r="E11" s="39"/>
      <c r="F11" s="39"/>
      <c r="G11" s="39"/>
      <c r="H11" s="39"/>
      <c r="I11" s="39"/>
      <c r="J11" s="39"/>
    </row>
    <row r="12" spans="1:10" ht="15.6" x14ac:dyDescent="0.3">
      <c r="A12" s="57"/>
      <c r="B12" s="57"/>
      <c r="C12" s="57"/>
      <c r="D12" s="57"/>
      <c r="E12" s="57"/>
      <c r="F12" s="57"/>
      <c r="G12" s="57"/>
      <c r="H12" s="57"/>
      <c r="I12" s="57"/>
      <c r="J12" s="57"/>
    </row>
    <row r="13" spans="1:10" ht="74.099999999999994" customHeight="1" x14ac:dyDescent="0.25">
      <c r="A13" s="582" t="s">
        <v>875</v>
      </c>
      <c r="B13" s="583"/>
      <c r="C13" s="583"/>
      <c r="D13" s="583"/>
      <c r="E13" s="583"/>
      <c r="F13" s="583"/>
      <c r="G13" s="583"/>
      <c r="H13" s="583"/>
      <c r="I13" s="583"/>
      <c r="J13" s="583"/>
    </row>
    <row r="14" spans="1:10" x14ac:dyDescent="0.25">
      <c r="A14" s="39"/>
      <c r="B14" s="39"/>
      <c r="C14" s="39"/>
      <c r="D14" s="39"/>
      <c r="E14" s="39"/>
      <c r="F14" s="39"/>
      <c r="G14" s="39"/>
      <c r="H14" s="39"/>
      <c r="I14" s="39"/>
      <c r="J14" s="39"/>
    </row>
    <row r="15" spans="1:10" x14ac:dyDescent="0.25">
      <c r="A15" s="39"/>
      <c r="B15" s="39"/>
      <c r="C15" s="39"/>
      <c r="D15" s="39"/>
      <c r="E15" s="39"/>
      <c r="F15" s="39"/>
      <c r="G15" s="39"/>
      <c r="H15" s="39"/>
      <c r="I15" s="39"/>
      <c r="J15" s="39"/>
    </row>
    <row r="16" spans="1:10" ht="22.5" customHeight="1" x14ac:dyDescent="0.25">
      <c r="A16" s="572" t="s">
        <v>824</v>
      </c>
      <c r="B16" s="572"/>
      <c r="C16" s="573"/>
      <c r="D16" s="129" t="s">
        <v>827</v>
      </c>
      <c r="E16" s="39"/>
      <c r="F16" s="39"/>
      <c r="G16" s="572" t="s">
        <v>829</v>
      </c>
      <c r="H16" s="572"/>
      <c r="I16" s="573"/>
      <c r="J16" s="129" t="s">
        <v>827</v>
      </c>
    </row>
    <row r="17" spans="1:10" ht="13.8" x14ac:dyDescent="0.25">
      <c r="D17" s="173">
        <f>'REPORT 3'!$J$9</f>
        <v>1856</v>
      </c>
      <c r="E17" s="39"/>
      <c r="F17" s="39"/>
      <c r="G17" s="570" t="s">
        <v>847</v>
      </c>
      <c r="H17" s="570"/>
      <c r="I17" s="571"/>
      <c r="J17" s="173">
        <f>'REPORT 3'!$J$34</f>
        <v>1856</v>
      </c>
    </row>
    <row r="18" spans="1:10" ht="13.8" x14ac:dyDescent="0.25">
      <c r="A18" s="109"/>
      <c r="B18" s="109"/>
      <c r="C18" s="109"/>
      <c r="D18" s="39"/>
      <c r="E18" s="39"/>
      <c r="F18" s="39"/>
      <c r="G18" s="39"/>
      <c r="H18" s="39"/>
      <c r="I18" s="39"/>
      <c r="J18" s="39"/>
    </row>
    <row r="19" spans="1:10" ht="13.8" x14ac:dyDescent="0.25">
      <c r="A19" s="109"/>
      <c r="B19" s="109"/>
      <c r="C19" s="109"/>
      <c r="D19" s="39"/>
      <c r="E19" s="39"/>
      <c r="F19" s="39"/>
      <c r="G19" s="39"/>
      <c r="H19" s="39"/>
      <c r="I19" s="39"/>
      <c r="J19" s="39"/>
    </row>
    <row r="20" spans="1:10" ht="22.5" customHeight="1" x14ac:dyDescent="0.25">
      <c r="A20" s="572" t="s">
        <v>826</v>
      </c>
      <c r="B20" s="572"/>
      <c r="C20" s="573"/>
      <c r="D20" s="129" t="s">
        <v>827</v>
      </c>
      <c r="E20" s="39"/>
      <c r="F20" s="39"/>
      <c r="G20" s="572" t="s">
        <v>816</v>
      </c>
      <c r="H20" s="572"/>
      <c r="I20" s="573"/>
      <c r="J20" s="129" t="s">
        <v>827</v>
      </c>
    </row>
    <row r="21" spans="1:10" ht="13.8" x14ac:dyDescent="0.25">
      <c r="A21" s="575"/>
      <c r="B21" s="575"/>
      <c r="C21" s="578"/>
      <c r="D21" s="173">
        <f>'REPORT 3'!$J$26</f>
        <v>924</v>
      </c>
      <c r="E21" s="39"/>
      <c r="F21" s="39"/>
      <c r="G21" s="570" t="s">
        <v>847</v>
      </c>
      <c r="H21" s="570"/>
      <c r="I21" s="571"/>
      <c r="J21" s="173">
        <f>'REPORT 3'!$J$44</f>
        <v>1856</v>
      </c>
    </row>
    <row r="22" spans="1:10" ht="13.8" x14ac:dyDescent="0.25">
      <c r="A22" s="110"/>
      <c r="B22" s="110"/>
      <c r="C22" s="110"/>
    </row>
    <row r="24" spans="1:10" ht="70.5" customHeight="1" x14ac:dyDescent="0.25">
      <c r="A24" s="576" t="s">
        <v>877</v>
      </c>
      <c r="B24" s="577"/>
      <c r="C24" s="577"/>
      <c r="D24" s="577"/>
      <c r="E24" s="577"/>
      <c r="F24" s="577"/>
      <c r="G24" s="577"/>
      <c r="H24" s="577"/>
      <c r="I24" s="577"/>
      <c r="J24" s="577"/>
    </row>
    <row r="27" spans="1:10" ht="22.5" customHeight="1" x14ac:dyDescent="0.25">
      <c r="A27" s="574" t="s">
        <v>870</v>
      </c>
      <c r="B27" s="575"/>
      <c r="C27" s="575"/>
      <c r="D27" s="171" t="s">
        <v>827</v>
      </c>
      <c r="G27" s="572" t="s">
        <v>829</v>
      </c>
      <c r="H27" s="572"/>
      <c r="I27" s="573"/>
      <c r="J27" s="171" t="s">
        <v>827</v>
      </c>
    </row>
    <row r="28" spans="1:10" ht="15" customHeight="1" x14ac:dyDescent="0.25">
      <c r="D28" s="175">
        <f>'ARREST REPORT'!$G$12</f>
        <v>31540</v>
      </c>
      <c r="G28" s="570" t="s">
        <v>847</v>
      </c>
      <c r="H28" s="570"/>
      <c r="I28" s="571"/>
      <c r="J28" s="175">
        <f>'ARREST REPORT'!$G$18</f>
        <v>31540</v>
      </c>
    </row>
    <row r="31" spans="1:10" ht="13.8" x14ac:dyDescent="0.25">
      <c r="G31" s="572" t="s">
        <v>816</v>
      </c>
      <c r="H31" s="572"/>
      <c r="I31" s="573"/>
      <c r="J31" s="171" t="s">
        <v>827</v>
      </c>
    </row>
    <row r="32" spans="1:10" s="1" customFormat="1" ht="13.8" x14ac:dyDescent="0.25">
      <c r="G32" s="570" t="s">
        <v>847</v>
      </c>
      <c r="H32" s="570"/>
      <c r="I32" s="571"/>
      <c r="J32" s="175">
        <f>'ARREST REPORT'!$G$26</f>
        <v>31540</v>
      </c>
    </row>
  </sheetData>
  <sheetProtection selectLockedCells="1"/>
  <mergeCells count="22">
    <mergeCell ref="A1:J1"/>
    <mergeCell ref="A13:J13"/>
    <mergeCell ref="A6:J6"/>
    <mergeCell ref="A9:C9"/>
    <mergeCell ref="A10:C10"/>
    <mergeCell ref="G9:I9"/>
    <mergeCell ref="G10:I10"/>
    <mergeCell ref="A3:G3"/>
    <mergeCell ref="H3:J3"/>
    <mergeCell ref="G32:I32"/>
    <mergeCell ref="A16:C16"/>
    <mergeCell ref="A27:C27"/>
    <mergeCell ref="G27:I27"/>
    <mergeCell ref="G28:I28"/>
    <mergeCell ref="G31:I31"/>
    <mergeCell ref="A20:C20"/>
    <mergeCell ref="A24:J24"/>
    <mergeCell ref="G21:I21"/>
    <mergeCell ref="A21:C21"/>
    <mergeCell ref="G16:I16"/>
    <mergeCell ref="G17:I17"/>
    <mergeCell ref="G20:I20"/>
  </mergeCells>
  <printOptions horizontalCentered="1"/>
  <pageMargins left="0.45" right="0.45" top="0.45" bottom="0.45" header="0.3" footer="0.3"/>
  <pageSetup orientation="portrait" r:id="rId1"/>
  <headerFooter>
    <oddFooter>&amp;L&amp;7&amp;Z&amp;F
BSCC Use Only Report Totals Tab (Hidden)</oddFooter>
  </headerFooter>
  <rowBreaks count="1" manualBreakCount="1">
    <brk id="3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A50"/>
  <sheetViews>
    <sheetView workbookViewId="0">
      <selection activeCell="H17" sqref="H17"/>
    </sheetView>
  </sheetViews>
  <sheetFormatPr defaultRowHeight="13.8" x14ac:dyDescent="0.25"/>
  <cols>
    <col min="1" max="1" width="36.21875" style="110" customWidth="1"/>
  </cols>
  <sheetData>
    <row r="1" spans="1:1" x14ac:dyDescent="0.25">
      <c r="A1" s="109" t="s">
        <v>468</v>
      </c>
    </row>
    <row r="2" spans="1:1" x14ac:dyDescent="0.25">
      <c r="A2" s="109" t="s">
        <v>469</v>
      </c>
    </row>
    <row r="3" spans="1:1" x14ac:dyDescent="0.25">
      <c r="A3" s="109" t="s">
        <v>470</v>
      </c>
    </row>
    <row r="4" spans="1:1" x14ac:dyDescent="0.25">
      <c r="A4" s="109" t="s">
        <v>471</v>
      </c>
    </row>
    <row r="5" spans="1:1" x14ac:dyDescent="0.25">
      <c r="A5" s="109" t="s">
        <v>472</v>
      </c>
    </row>
    <row r="6" spans="1:1" x14ac:dyDescent="0.25">
      <c r="A6" s="109" t="s">
        <v>473</v>
      </c>
    </row>
    <row r="7" spans="1:1" x14ac:dyDescent="0.25">
      <c r="A7" s="109" t="s">
        <v>474</v>
      </c>
    </row>
    <row r="8" spans="1:1" x14ac:dyDescent="0.25">
      <c r="A8" s="109" t="s">
        <v>536</v>
      </c>
    </row>
    <row r="9" spans="1:1" x14ac:dyDescent="0.25">
      <c r="A9" s="109" t="s">
        <v>475</v>
      </c>
    </row>
    <row r="10" spans="1:1" x14ac:dyDescent="0.25">
      <c r="A10" s="109" t="s">
        <v>476</v>
      </c>
    </row>
    <row r="11" spans="1:1" x14ac:dyDescent="0.25">
      <c r="A11" s="109" t="s">
        <v>477</v>
      </c>
    </row>
    <row r="12" spans="1:1" x14ac:dyDescent="0.25">
      <c r="A12" s="109" t="s">
        <v>478</v>
      </c>
    </row>
    <row r="13" spans="1:1" x14ac:dyDescent="0.25">
      <c r="A13" s="109" t="s">
        <v>479</v>
      </c>
    </row>
    <row r="14" spans="1:1" x14ac:dyDescent="0.25">
      <c r="A14" s="109" t="s">
        <v>480</v>
      </c>
    </row>
    <row r="15" spans="1:1" x14ac:dyDescent="0.25">
      <c r="A15" s="109" t="s">
        <v>481</v>
      </c>
    </row>
    <row r="16" spans="1:1" x14ac:dyDescent="0.25">
      <c r="A16" s="109" t="s">
        <v>482</v>
      </c>
    </row>
    <row r="17" spans="1:1" x14ac:dyDescent="0.25">
      <c r="A17" s="109" t="s">
        <v>483</v>
      </c>
    </row>
    <row r="18" spans="1:1" x14ac:dyDescent="0.25">
      <c r="A18" s="109" t="s">
        <v>484</v>
      </c>
    </row>
    <row r="19" spans="1:1" x14ac:dyDescent="0.25">
      <c r="A19" s="109" t="s">
        <v>485</v>
      </c>
    </row>
    <row r="20" spans="1:1" x14ac:dyDescent="0.25">
      <c r="A20" s="109" t="s">
        <v>486</v>
      </c>
    </row>
    <row r="21" spans="1:1" x14ac:dyDescent="0.25">
      <c r="A21" s="109" t="s">
        <v>487</v>
      </c>
    </row>
    <row r="22" spans="1:1" x14ac:dyDescent="0.25">
      <c r="A22" s="109" t="s">
        <v>488</v>
      </c>
    </row>
    <row r="23" spans="1:1" x14ac:dyDescent="0.25">
      <c r="A23" s="109" t="s">
        <v>489</v>
      </c>
    </row>
    <row r="24" spans="1:1" x14ac:dyDescent="0.25">
      <c r="A24" s="109" t="s">
        <v>490</v>
      </c>
    </row>
    <row r="25" spans="1:1" x14ac:dyDescent="0.25">
      <c r="A25" s="109" t="s">
        <v>491</v>
      </c>
    </row>
    <row r="26" spans="1:1" x14ac:dyDescent="0.25">
      <c r="A26" s="109" t="s">
        <v>492</v>
      </c>
    </row>
    <row r="27" spans="1:1" x14ac:dyDescent="0.25">
      <c r="A27" s="109" t="s">
        <v>493</v>
      </c>
    </row>
    <row r="28" spans="1:1" x14ac:dyDescent="0.25">
      <c r="A28" s="109" t="s">
        <v>494</v>
      </c>
    </row>
    <row r="29" spans="1:1" x14ac:dyDescent="0.25">
      <c r="A29" s="109" t="s">
        <v>495</v>
      </c>
    </row>
    <row r="30" spans="1:1" x14ac:dyDescent="0.25">
      <c r="A30" s="109" t="s">
        <v>496</v>
      </c>
    </row>
    <row r="31" spans="1:1" x14ac:dyDescent="0.25">
      <c r="A31" s="109" t="s">
        <v>497</v>
      </c>
    </row>
    <row r="32" spans="1:1" x14ac:dyDescent="0.25">
      <c r="A32" s="109" t="s">
        <v>498</v>
      </c>
    </row>
    <row r="33" spans="1:1" x14ac:dyDescent="0.25">
      <c r="A33" s="109" t="s">
        <v>499</v>
      </c>
    </row>
    <row r="34" spans="1:1" x14ac:dyDescent="0.25">
      <c r="A34" s="109" t="s">
        <v>326</v>
      </c>
    </row>
    <row r="35" spans="1:1" x14ac:dyDescent="0.25">
      <c r="A35" s="109" t="s">
        <v>500</v>
      </c>
    </row>
    <row r="36" spans="1:1" x14ac:dyDescent="0.25">
      <c r="A36" s="109" t="s">
        <v>501</v>
      </c>
    </row>
    <row r="37" spans="1:1" x14ac:dyDescent="0.25">
      <c r="A37" s="109" t="s">
        <v>502</v>
      </c>
    </row>
    <row r="38" spans="1:1" x14ac:dyDescent="0.25">
      <c r="A38" s="109" t="s">
        <v>503</v>
      </c>
    </row>
    <row r="39" spans="1:1" x14ac:dyDescent="0.25">
      <c r="A39" s="109" t="s">
        <v>504</v>
      </c>
    </row>
    <row r="40" spans="1:1" x14ac:dyDescent="0.25">
      <c r="A40" s="109" t="s">
        <v>516</v>
      </c>
    </row>
    <row r="41" spans="1:1" x14ac:dyDescent="0.25">
      <c r="A41" s="109" t="s">
        <v>505</v>
      </c>
    </row>
    <row r="42" spans="1:1" x14ac:dyDescent="0.25">
      <c r="A42" s="109" t="s">
        <v>506</v>
      </c>
    </row>
    <row r="43" spans="1:1" x14ac:dyDescent="0.25">
      <c r="A43" s="109" t="s">
        <v>517</v>
      </c>
    </row>
    <row r="44" spans="1:1" x14ac:dyDescent="0.25">
      <c r="A44" s="109" t="s">
        <v>507</v>
      </c>
    </row>
    <row r="45" spans="1:1" x14ac:dyDescent="0.25">
      <c r="A45" s="109" t="s">
        <v>513</v>
      </c>
    </row>
    <row r="46" spans="1:1" x14ac:dyDescent="0.25">
      <c r="A46" s="109" t="s">
        <v>508</v>
      </c>
    </row>
    <row r="47" spans="1:1" x14ac:dyDescent="0.25">
      <c r="A47" s="109" t="s">
        <v>509</v>
      </c>
    </row>
    <row r="48" spans="1:1" x14ac:dyDescent="0.25">
      <c r="A48" s="109" t="s">
        <v>510</v>
      </c>
    </row>
    <row r="49" spans="1:1" x14ac:dyDescent="0.25">
      <c r="A49" s="109" t="s">
        <v>511</v>
      </c>
    </row>
    <row r="50" spans="1:1" x14ac:dyDescent="0.25">
      <c r="A50" s="109" t="s">
        <v>835</v>
      </c>
    </row>
  </sheetData>
  <sheetProtection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88</vt:i4>
      </vt:variant>
    </vt:vector>
  </HeadingPairs>
  <TitlesOfParts>
    <vt:vector size="107" baseType="lpstr">
      <vt:lpstr>CONTACT INFORMATION</vt:lpstr>
      <vt:lpstr>REPORT 1</vt:lpstr>
      <vt:lpstr>REPORT 3</vt:lpstr>
      <vt:lpstr>ARREST REPORT</vt:lpstr>
      <vt:lpstr>TREND ANALYSIS</vt:lpstr>
      <vt:lpstr>EXPENDITURE DETAILS</vt:lpstr>
      <vt:lpstr>Add'l EXPENDITURE DETAILS</vt:lpstr>
      <vt:lpstr>BSCC USE ONLY REPORT TOTALS </vt:lpstr>
      <vt:lpstr>Drop Down List for Exp Cats</vt:lpstr>
      <vt:lpstr>YOBG-FUNDED ASSESSMENTS</vt:lpstr>
      <vt:lpstr>STRATEGY FOR REALIGNED YOUTH</vt:lpstr>
      <vt:lpstr>OTHER</vt:lpstr>
      <vt:lpstr>Data</vt:lpstr>
      <vt:lpstr>Data2</vt:lpstr>
      <vt:lpstr>Data3</vt:lpstr>
      <vt:lpstr>tables</vt:lpstr>
      <vt:lpstr>ImportData</vt:lpstr>
      <vt:lpstr>ImportData2</vt:lpstr>
      <vt:lpstr>ImportData3</vt:lpstr>
      <vt:lpstr>_Tot1</vt:lpstr>
      <vt:lpstr>asi</vt:lpstr>
      <vt:lpstr>bot</vt:lpstr>
      <vt:lpstr>COMPAS</vt:lpstr>
      <vt:lpstr>coord1</vt:lpstr>
      <vt:lpstr>coord2</vt:lpstr>
      <vt:lpstr>coordnar</vt:lpstr>
      <vt:lpstr>Counties</vt:lpstr>
      <vt:lpstr>County</vt:lpstr>
      <vt:lpstr>Expcat</vt:lpstr>
      <vt:lpstr>Expenditures</vt:lpstr>
      <vt:lpstr>JAIS</vt:lpstr>
      <vt:lpstr>LSIR</vt:lpstr>
      <vt:lpstr>MAYSI</vt:lpstr>
      <vt:lpstr>MAYSI2</vt:lpstr>
      <vt:lpstr>NIC</vt:lpstr>
      <vt:lpstr>othrassess1</vt:lpstr>
      <vt:lpstr>othrassess2</vt:lpstr>
      <vt:lpstr>othrassess3</vt:lpstr>
      <vt:lpstr>othrassess4</vt:lpstr>
      <vt:lpstr>othrassessmentname1</vt:lpstr>
      <vt:lpstr>othrassessmentname2</vt:lpstr>
      <vt:lpstr>othrassessmentname3</vt:lpstr>
      <vt:lpstr>othrassessmentname4</vt:lpstr>
      <vt:lpstr>PACT</vt:lpstr>
      <vt:lpstr>preemail</vt:lpstr>
      <vt:lpstr>Prepemail</vt:lpstr>
      <vt:lpstr>prepfax</vt:lpstr>
      <vt:lpstr>primarytitle</vt:lpstr>
      <vt:lpstr>primcontact</vt:lpstr>
      <vt:lpstr>primemail</vt:lpstr>
      <vt:lpstr>primphone</vt:lpstr>
      <vt:lpstr>'Add''l EXPENDITURE DETAILS'!Print_Area</vt:lpstr>
      <vt:lpstr>'ARREST REPORT'!Print_Area</vt:lpstr>
      <vt:lpstr>'BSCC USE ONLY REPORT TOTALS '!Print_Area</vt:lpstr>
      <vt:lpstr>'CONTACT INFORMATION'!Print_Area</vt:lpstr>
      <vt:lpstr>'REPORT 1'!Print_Area</vt:lpstr>
      <vt:lpstr>'REPORT 3'!Print_Area</vt:lpstr>
      <vt:lpstr>'TREND ANALYSIS'!Print_Area</vt:lpstr>
      <vt:lpstr>regional</vt:lpstr>
      <vt:lpstr>Reportdate</vt:lpstr>
      <vt:lpstr>RRC</vt:lpstr>
      <vt:lpstr>seccontact</vt:lpstr>
      <vt:lpstr>seccontitle</vt:lpstr>
      <vt:lpstr>secemail</vt:lpstr>
      <vt:lpstr>secphone</vt:lpstr>
      <vt:lpstr>stratdf</vt:lpstr>
      <vt:lpstr>stratdif</vt:lpstr>
      <vt:lpstr>strategy</vt:lpstr>
      <vt:lpstr>stratnar</vt:lpstr>
      <vt:lpstr>stratplan</vt:lpstr>
      <vt:lpstr>t1jjcpaadmin</vt:lpstr>
      <vt:lpstr>t1jjcpacbo</vt:lpstr>
      <vt:lpstr>t1jjcpaequip</vt:lpstr>
      <vt:lpstr>t1jjcpaothr1</vt:lpstr>
      <vt:lpstr>t1jjcpaothr2</vt:lpstr>
      <vt:lpstr>t1jjcpaothr3</vt:lpstr>
      <vt:lpstr>t1jjcpaprof</vt:lpstr>
      <vt:lpstr>t1jjcpasal</vt:lpstr>
      <vt:lpstr>t1jjcpaserv</vt:lpstr>
      <vt:lpstr>t1jjcpatot</vt:lpstr>
      <vt:lpstr>t1numcode</vt:lpstr>
      <vt:lpstr>t1other1</vt:lpstr>
      <vt:lpstr>t1other2</vt:lpstr>
      <vt:lpstr>t1other3</vt:lpstr>
      <vt:lpstr>t1otheradmin</vt:lpstr>
      <vt:lpstr>t1othercbo</vt:lpstr>
      <vt:lpstr>t1otherequip</vt:lpstr>
      <vt:lpstr>t1otherothr1</vt:lpstr>
      <vt:lpstr>t1otherothr2</vt:lpstr>
      <vt:lpstr>t1otherothr3</vt:lpstr>
      <vt:lpstr>t1otherprof</vt:lpstr>
      <vt:lpstr>t1othersal</vt:lpstr>
      <vt:lpstr>t1otherserv</vt:lpstr>
      <vt:lpstr>t1othertot</vt:lpstr>
      <vt:lpstr>t1yobgadmin</vt:lpstr>
      <vt:lpstr>t1yobgcbo</vt:lpstr>
      <vt:lpstr>t1yobgequip</vt:lpstr>
      <vt:lpstr>t1yobgothr1</vt:lpstr>
      <vt:lpstr>t1yobgothr2</vt:lpstr>
      <vt:lpstr>t1yobgothr3</vt:lpstr>
      <vt:lpstr>t1yobgprof</vt:lpstr>
      <vt:lpstr>t1yobgsal</vt:lpstr>
      <vt:lpstr>t1yobgserv</vt:lpstr>
      <vt:lpstr>t1yobgtot</vt:lpstr>
      <vt:lpstr>YESNO</vt:lpstr>
      <vt:lpstr>YLSCMI</vt:lpstr>
      <vt:lpstr>Youthtype</vt:lpstr>
    </vt:vector>
  </TitlesOfParts>
  <Company>Corrections Standards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jberner</dc:creator>
  <cp:lastModifiedBy>Lwin, Adam@BSCC</cp:lastModifiedBy>
  <cp:lastPrinted>2020-09-18T20:45:54Z</cp:lastPrinted>
  <dcterms:created xsi:type="dcterms:W3CDTF">2010-06-09T19:05:00Z</dcterms:created>
  <dcterms:modified xsi:type="dcterms:W3CDTF">2020-10-26T18:10:13Z</dcterms:modified>
</cp:coreProperties>
</file>