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C:\Users\cpappas\Desktop\JJCPA\JJCPA Annual Reports\JJCPA_YOBG_Annual_Report_Oct_2021\"/>
    </mc:Choice>
  </mc:AlternateContent>
  <xr:revisionPtr revIDLastSave="0" documentId="13_ncr:1_{6A4A212B-D1C5-431D-8012-8F499B75006C}" xr6:coauthVersionLast="47" xr6:coauthVersionMax="47" xr10:uidLastSave="{00000000-0000-0000-0000-000000000000}"/>
  <workbookProtection workbookAlgorithmName="SHA-512" workbookHashValue="2LI5/G5EvKrM0FkB5ZSBV0lTwLGn0nFQ9BiPpsL4AtxJaNwxRWYfwE0dmvuEqTsc9z7nT2aBHmMrDLK/uUmJAw==" workbookSaltValue="TGQaUh8EholbXLbuNS3fmQ==" workbookSpinCount="100000" lockStructure="1"/>
  <bookViews>
    <workbookView xWindow="-108" yWindow="-108" windowWidth="23256" windowHeight="12576" tabRatio="876" xr2:uid="{00000000-000D-0000-FFFF-FFFF00000000}"/>
  </bookViews>
  <sheets>
    <sheet name="CONTACT INFORMATION" sheetId="1" r:id="rId1"/>
    <sheet name="REPORT 1" sheetId="36" r:id="rId2"/>
    <sheet name="REPORT 3" sheetId="37" r:id="rId3"/>
    <sheet name="ARREST REPORT" sheetId="43" r:id="rId4"/>
    <sheet name="TREND ANALYSIS" sheetId="39" r:id="rId5"/>
    <sheet name="EXPENDITURE DETAILS" sheetId="7" r:id="rId6"/>
    <sheet name="Add'l EXPENDITURE DETAILS" sheetId="44" r:id="rId7"/>
    <sheet name="BSCC USE ONLY REPORT TOTALS " sheetId="38" state="hidden" r:id="rId8"/>
    <sheet name="Drop Down List for Exp Cats" sheetId="40" state="hidden" r:id="rId9"/>
    <sheet name="YOBG-FUNDED ASSESSMENTS" sheetId="29" state="hidden" r:id="rId10"/>
    <sheet name="STRATEGY FOR REALIGNED YOUTH" sheetId="28" state="hidden" r:id="rId11"/>
    <sheet name="OTHER" sheetId="27" state="hidden" r:id="rId12"/>
    <sheet name="Data" sheetId="8" state="hidden" r:id="rId13"/>
    <sheet name="Data2" sheetId="31" state="hidden" r:id="rId14"/>
    <sheet name="Data3" sheetId="30" state="hidden" r:id="rId15"/>
    <sheet name="tables" sheetId="3" state="hidden" r:id="rId16"/>
    <sheet name="ImportData" sheetId="33" state="hidden" r:id="rId17"/>
    <sheet name="ImportData2" sheetId="34" state="hidden" r:id="rId18"/>
    <sheet name="ImportData3" sheetId="35" state="hidden" r:id="rId19"/>
  </sheets>
  <definedNames>
    <definedName name="_Tot1">'EXPENDITURE DETAILS'!$E$142</definedName>
    <definedName name="Address">'CONTACT INFORMATION'!#REF!</definedName>
    <definedName name="Address2">'CONTACT INFORMATION'!#REF!</definedName>
    <definedName name="asi">'YOBG-FUNDED ASSESSMENTS'!$I$8</definedName>
    <definedName name="bot">'YOBG-FUNDED ASSESSMENTS'!$I$9</definedName>
    <definedName name="Chief">'CONTACT INFORMATION'!#REF!</definedName>
    <definedName name="Chief2">'CONTACT INFORMATION'!#REF!</definedName>
    <definedName name="Chiefemail">'CONTACT INFORMATION'!#REF!</definedName>
    <definedName name="Chiefemail2">'CONTACT INFORMATION'!#REF!</definedName>
    <definedName name="Chieffax">'CONTACT INFORMATION'!#REF!</definedName>
    <definedName name="Chiefphone">'CONTACT INFORMATION'!#REF!</definedName>
    <definedName name="Chiefphone2">'CONTACT INFORMATION'!#REF!</definedName>
    <definedName name="City">'CONTACT INFORMATION'!#REF!</definedName>
    <definedName name="City2">'CONTACT INFORMATION'!#REF!</definedName>
    <definedName name="Click_on_the_box_to_enter_or_edit_your_response.">#REF!</definedName>
    <definedName name="COMPAS">'YOBG-FUNDED ASSESSMENTS'!$I$10</definedName>
    <definedName name="coord1">OTHER!$I$6</definedName>
    <definedName name="coord2">OTHER!$I$7</definedName>
    <definedName name="coordnar">OTHER!$A$9</definedName>
    <definedName name="Counties">tables!$D$1:$D$58</definedName>
    <definedName name="County">'CONTACT INFORMATION'!$A$24</definedName>
    <definedName name="descrepancies">#REF!</definedName>
    <definedName name="discexpl">#REF!</definedName>
    <definedName name="discrep">#REF!</definedName>
    <definedName name="discrepancy">#REF!</definedName>
    <definedName name="Expcat">tables!$B$1:$B$52</definedName>
    <definedName name="Expenditures">'Drop Down List for Exp Cats'!$A$1:$A$50</definedName>
    <definedName name="fy0708all">#REF!</definedName>
    <definedName name="fy0809all">#REF!</definedName>
    <definedName name="fy0910all">#REF!</definedName>
    <definedName name="fy1011all">#REF!</definedName>
    <definedName name="fy1112all">#REF!</definedName>
    <definedName name="fy1213all">#REF!</definedName>
    <definedName name="fy1314all">#REF!</definedName>
    <definedName name="Instructions">#REF!</definedName>
    <definedName name="JAIS">'YOBG-FUNDED ASSESSMENTS'!$I$11</definedName>
    <definedName name="JJCPAt1">#REF!</definedName>
    <definedName name="JJCPAt10">#REF!</definedName>
    <definedName name="JJCPAt2">#REF!</definedName>
    <definedName name="JJCPAt3">#REF!</definedName>
    <definedName name="JJCPAt4">#REF!</definedName>
    <definedName name="JJCPAt5">#REF!</definedName>
    <definedName name="JJCPAt6">#REF!</definedName>
    <definedName name="JJCPAt7">#REF!</definedName>
    <definedName name="JJCPAt8">#REF!</definedName>
    <definedName name="JJCPAt9">#REF!</definedName>
    <definedName name="LSIR">'YOBG-FUNDED ASSESSMENTS'!$I$12</definedName>
    <definedName name="MAYSI">'YOBG-FUNDED ASSESSMENTS'!$I$14</definedName>
    <definedName name="MAYSI2">'YOBG-FUNDED ASSESSMENTS'!$I$13</definedName>
    <definedName name="name">'CONTACT INFORMATION'!#REF!</definedName>
    <definedName name="NIC">'YOBG-FUNDED ASSESSMENTS'!$I$15</definedName>
    <definedName name="Numcodet1">#REF!</definedName>
    <definedName name="Numcodet10">#REF!</definedName>
    <definedName name="Numcodet2">#REF!</definedName>
    <definedName name="Numcodet3">#REF!</definedName>
    <definedName name="Numcodet4">#REF!</definedName>
    <definedName name="Numcodet5">#REF!</definedName>
    <definedName name="Numcodet6">#REF!</definedName>
    <definedName name="Numcodet7">#REF!</definedName>
    <definedName name="Numcodet8">#REF!</definedName>
    <definedName name="Numcodet9">#REF!</definedName>
    <definedName name="Numealtt1">'EXPENDITURE DETAILS'!#REF!</definedName>
    <definedName name="Numealtt10">'EXPENDITURE DETAILS'!#REF!</definedName>
    <definedName name="Numealtt2">'EXPENDITURE DETAILS'!#REF!</definedName>
    <definedName name="Numealtt3">'EXPENDITURE DETAILS'!#REF!</definedName>
    <definedName name="Numealtt4">'EXPENDITURE DETAILS'!#REF!</definedName>
    <definedName name="Numealtt5">'EXPENDITURE DETAILS'!#REF!</definedName>
    <definedName name="Numealtt6">'EXPENDITURE DETAILS'!#REF!</definedName>
    <definedName name="Numealtt7">'EXPENDITURE DETAILS'!#REF!</definedName>
    <definedName name="Numealtt8">'EXPENDITURE DETAILS'!#REF!</definedName>
    <definedName name="Numealtt9">'EXPENDITURE DETAILS'!#REF!</definedName>
    <definedName name="Numecodet1">#REF!</definedName>
    <definedName name="Numecodet10">#REF!</definedName>
    <definedName name="Numecodet2">#REF!</definedName>
    <definedName name="Numecodet3">#REF!</definedName>
    <definedName name="Numecodet4">#REF!</definedName>
    <definedName name="Numecodet5">#REF!</definedName>
    <definedName name="Numecodet6">#REF!</definedName>
    <definedName name="Numecodet7">#REF!</definedName>
    <definedName name="Numecodet8">#REF!</definedName>
    <definedName name="Numecodet9">#REF!</definedName>
    <definedName name="Othert1">#REF!</definedName>
    <definedName name="Othert10">#REF!</definedName>
    <definedName name="Othert2">#REF!</definedName>
    <definedName name="Othert3">#REF!</definedName>
    <definedName name="Othert4">#REF!</definedName>
    <definedName name="Othert5">#REF!</definedName>
    <definedName name="Othert6">#REF!</definedName>
    <definedName name="Othert7">#REF!</definedName>
    <definedName name="Othert8">#REF!</definedName>
    <definedName name="Othert9">#REF!</definedName>
    <definedName name="othrassess1">'YOBG-FUNDED ASSESSMENTS'!$I$19</definedName>
    <definedName name="othrassess2">'YOBG-FUNDED ASSESSMENTS'!$I$20</definedName>
    <definedName name="othrassess3">'YOBG-FUNDED ASSESSMENTS'!$I$21</definedName>
    <definedName name="othrassess4">'YOBG-FUNDED ASSESSMENTS'!$I$22</definedName>
    <definedName name="othrassessmentname1">'YOBG-FUNDED ASSESSMENTS'!$C$19</definedName>
    <definedName name="othrassessmentname2">'YOBG-FUNDED ASSESSMENTS'!$C$20</definedName>
    <definedName name="othrassessmentname3">'YOBG-FUNDED ASSESSMENTS'!$C$21</definedName>
    <definedName name="othrassessmentname4">'YOBG-FUNDED ASSESSMENTS'!$C$22</definedName>
    <definedName name="PACT">'YOBG-FUNDED ASSESSMENTS'!$I$16</definedName>
    <definedName name="preemail">'CONTACT INFORMATION'!$D$29</definedName>
    <definedName name="Preparer">'CONTACT INFORMATION'!#REF!</definedName>
    <definedName name="Prepemail">'CONTACT INFORMATION'!$G$29</definedName>
    <definedName name="prepfax">'CONTACT INFORMATION'!$D$29</definedName>
    <definedName name="Preptitle">'CONTACT INFORMATION'!#REF!</definedName>
    <definedName name="primarytitle">'CONTACT INFORMATION'!$F$27</definedName>
    <definedName name="primcontact">'CONTACT INFORMATION'!$A$27</definedName>
    <definedName name="primemail">'CONTACT INFORMATION'!$D$29</definedName>
    <definedName name="primphone">'CONTACT INFORMATION'!$A$29</definedName>
    <definedName name="_xlnm.Print_Area" localSheetId="6">'Add''l EXPENDITURE DETAILS'!$A$1:$J$815</definedName>
    <definedName name="_xlnm.Print_Area" localSheetId="3">'ARREST REPORT'!$A$1:$I$50</definedName>
    <definedName name="_xlnm.Print_Area" localSheetId="7">'BSCC USE ONLY REPORT TOTALS '!$A$1:$K$32</definedName>
    <definedName name="_xlnm.Print_Area" localSheetId="0">'CONTACT INFORMATION'!$A$1:$J$53</definedName>
    <definedName name="_xlnm.Print_Area" localSheetId="1">'REPORT 1'!$A$1:$O$48</definedName>
    <definedName name="_xlnm.Print_Area" localSheetId="2">'REPORT 3'!$A$1:$O$56</definedName>
    <definedName name="_xlnm.Print_Area" localSheetId="4">'TREND ANALYSIS'!$A$1:$J$57</definedName>
    <definedName name="regional">OTHER!$A$29</definedName>
    <definedName name="Reportdate">'CONTACT INFORMATION'!$F$24</definedName>
    <definedName name="RRC">'YOBG-FUNDED ASSESSMENTS'!$I$17</definedName>
    <definedName name="seccontact">'CONTACT INFORMATION'!$A$32</definedName>
    <definedName name="seccontitle">'CONTACT INFORMATION'!$F$32</definedName>
    <definedName name="secemail">'CONTACT INFORMATION'!$D$34</definedName>
    <definedName name="secphone">'CONTACT INFORMATION'!$A$34</definedName>
    <definedName name="stratdf">'STRATEGY FOR REALIGNED YOUTH'!$A$27</definedName>
    <definedName name="stratdif">'STRATEGY FOR REALIGNED YOUTH'!$A$27</definedName>
    <definedName name="strategy">'STRATEGY FOR REALIGNED YOUTH'!$H$7</definedName>
    <definedName name="stratnar">'STRATEGY FOR REALIGNED YOUTH'!$A$10</definedName>
    <definedName name="stratplan">'STRATEGY FOR REALIGNED YOUTH'!$A$41</definedName>
    <definedName name="t10barrier">'EXPENDITURE DETAILS'!#REF!</definedName>
    <definedName name="t10cap">'EXPENDITURE DETAILS'!#REF!</definedName>
    <definedName name="t10casecount">'EXPENDITURE DETAILS'!#REF!</definedName>
    <definedName name="t10ebp">'EXPENDITURE DETAILS'!#REF!</definedName>
    <definedName name="t10funds">'EXPENDITURE DETAILS'!#REF!</definedName>
    <definedName name="t10goal">'EXPENDITURE DETAILS'!#REF!</definedName>
    <definedName name="t10jjcpaadmin">'EXPENDITURE DETAILS'!#REF!</definedName>
    <definedName name="t10jjcpacbo">'EXPENDITURE DETAILS'!#REF!</definedName>
    <definedName name="t10jjcpaequip">'EXPENDITURE DETAILS'!#REF!</definedName>
    <definedName name="t10jjcpaothr1">'EXPENDITURE DETAILS'!#REF!</definedName>
    <definedName name="t10jjcpaothr2">'EXPENDITURE DETAILS'!#REF!</definedName>
    <definedName name="t10jjcpaothr3">'EXPENDITURE DETAILS'!#REF!</definedName>
    <definedName name="t10jjcpaprof">'EXPENDITURE DETAILS'!#REF!</definedName>
    <definedName name="t10jjcpasal">'EXPENDITURE DETAILS'!#REF!</definedName>
    <definedName name="t10jjcpaserv">'EXPENDITURE DETAILS'!#REF!</definedName>
    <definedName name="t10jjcpatot">'EXPENDITURE DETAILS'!#REF!</definedName>
    <definedName name="t10location">'EXPENDITURE DETAILS'!#REF!</definedName>
    <definedName name="t10nar">'EXPENDITURE DETAILS'!#REF!</definedName>
    <definedName name="t10numcode">'EXPENDITURE DETAILS'!#REF!</definedName>
    <definedName name="t10other1">'EXPENDITURE DETAILS'!#REF!</definedName>
    <definedName name="t10other2">'EXPENDITURE DETAILS'!#REF!</definedName>
    <definedName name="t10other3">'EXPENDITURE DETAILS'!#REF!</definedName>
    <definedName name="t10otheradmin">'EXPENDITURE DETAILS'!#REF!</definedName>
    <definedName name="t10othercbo">'EXPENDITURE DETAILS'!#REF!</definedName>
    <definedName name="t10otherequip">'EXPENDITURE DETAILS'!#REF!</definedName>
    <definedName name="t10otherothr1">'EXPENDITURE DETAILS'!#REF!</definedName>
    <definedName name="t10otherothr2">'EXPENDITURE DETAILS'!#REF!</definedName>
    <definedName name="t10otherothr3">'EXPENDITURE DETAILS'!#REF!</definedName>
    <definedName name="t10otherprof">'EXPENDITURE DETAILS'!#REF!</definedName>
    <definedName name="t10othersal">'EXPENDITURE DETAILS'!#REF!</definedName>
    <definedName name="t10otherserv">'EXPENDITURE DETAILS'!#REF!</definedName>
    <definedName name="t10othertot">'EXPENDITURE DETAILS'!#REF!</definedName>
    <definedName name="t10progname">'EXPENDITURE DETAILS'!#REF!</definedName>
    <definedName name="t10prognamealt">'EXPENDITURE DETAILS'!#REF!</definedName>
    <definedName name="t10totpercap">'EXPENDITURE DETAILS'!#REF!</definedName>
    <definedName name="t10yobgadmin">'EXPENDITURE DETAILS'!#REF!</definedName>
    <definedName name="t10yobgcbo">'EXPENDITURE DETAILS'!#REF!</definedName>
    <definedName name="t10yobgequip">'EXPENDITURE DETAILS'!#REF!</definedName>
    <definedName name="t10yobgothr1">'EXPENDITURE DETAILS'!#REF!</definedName>
    <definedName name="t10yobgothr2">'EXPENDITURE DETAILS'!#REF!</definedName>
    <definedName name="t10yobgothr3">'EXPENDITURE DETAILS'!#REF!</definedName>
    <definedName name="t10yobgpercap">'EXPENDITURE DETAILS'!#REF!</definedName>
    <definedName name="t10yobgprof">'EXPENDITURE DETAILS'!#REF!</definedName>
    <definedName name="t10yobgsal">'EXPENDITURE DETAILS'!#REF!</definedName>
    <definedName name="t10yobgserv">'EXPENDITURE DETAILS'!#REF!</definedName>
    <definedName name="t10yobgtot">'EXPENDITURE DETAILS'!#REF!</definedName>
    <definedName name="t10youth1">'EXPENDITURE DETAILS'!#REF!</definedName>
    <definedName name="t10youth2">'EXPENDITURE DETAILS'!#REF!</definedName>
    <definedName name="t10youth3">'EXPENDITURE DETAILS'!#REF!</definedName>
    <definedName name="t10youth4">'EXPENDITURE DETAILS'!#REF!</definedName>
    <definedName name="t10youth5">'EXPENDITURE DETAILS'!#REF!</definedName>
    <definedName name="t10youth6">'EXPENDITURE DETAILS'!#REF!</definedName>
    <definedName name="t1barrier">'EXPENDITURE DETAILS'!#REF!</definedName>
    <definedName name="t1cap">'EXPENDITURE DETAILS'!#REF!</definedName>
    <definedName name="t1casecount">'EXPENDITURE DETAILS'!#REF!</definedName>
    <definedName name="t1desciption">'EXPENDITURE DETAILS'!#REF!</definedName>
    <definedName name="t1description">'EXPENDITURE DETAILS'!#REF!</definedName>
    <definedName name="t1ebp">'EXPENDITURE DETAILS'!#REF!</definedName>
    <definedName name="t1funds">'EXPENDITURE DETAILS'!#REF!</definedName>
    <definedName name="t1goal">'EXPENDITURE DETAILS'!#REF!</definedName>
    <definedName name="t1jjcpaadmin">'EXPENDITURE DETAILS'!$G$137</definedName>
    <definedName name="t1jjcpacbo">'EXPENDITURE DETAILS'!$G$135</definedName>
    <definedName name="t1jjcpaequip">'EXPENDITURE DETAILS'!$G$136</definedName>
    <definedName name="t1jjcpaothr1">'EXPENDITURE DETAILS'!$G$139</definedName>
    <definedName name="t1jjcpaothr2">'EXPENDITURE DETAILS'!$G$140</definedName>
    <definedName name="t1jjcpaothr3">'EXPENDITURE DETAILS'!$G$141</definedName>
    <definedName name="t1jjcpaprof">'EXPENDITURE DETAILS'!$G$134</definedName>
    <definedName name="t1jjcpasal">'EXPENDITURE DETAILS'!$G$132</definedName>
    <definedName name="t1jjcpaserv">'EXPENDITURE DETAILS'!$G$133</definedName>
    <definedName name="t1jjcpatot">'EXPENDITURE DETAILS'!$G$142</definedName>
    <definedName name="t1location">'EXPENDITURE DETAILS'!#REF!</definedName>
    <definedName name="t1nar">'EXPENDITURE DETAILS'!#REF!</definedName>
    <definedName name="t1numcode">'EXPENDITURE DETAILS'!$G$128</definedName>
    <definedName name="t1other1">'EXPENDITURE DETAILS'!$A$139</definedName>
    <definedName name="t1other2">'EXPENDITURE DETAILS'!$A$140</definedName>
    <definedName name="t1other3">'EXPENDITURE DETAILS'!$A$141</definedName>
    <definedName name="t1otheradmin">'EXPENDITURE DETAILS'!$I$137</definedName>
    <definedName name="t1othercbo">'EXPENDITURE DETAILS'!$I$135</definedName>
    <definedName name="t1otherequip">'EXPENDITURE DETAILS'!$I$136</definedName>
    <definedName name="t1otherothr1">'EXPENDITURE DETAILS'!$I$139</definedName>
    <definedName name="t1otherothr2">'EXPENDITURE DETAILS'!$I$140</definedName>
    <definedName name="t1otherothr3">'EXPENDITURE DETAILS'!$I$141</definedName>
    <definedName name="t1otherprof">'EXPENDITURE DETAILS'!$I$134</definedName>
    <definedName name="t1othersal">'EXPENDITURE DETAILS'!$I$132</definedName>
    <definedName name="t1otherserv">'EXPENDITURE DETAILS'!$I$133</definedName>
    <definedName name="t1othertot">'EXPENDITURE DETAILS'!$I$142</definedName>
    <definedName name="t1progname">'EXPENDITURE DETAILS'!#REF!</definedName>
    <definedName name="t1prognamealt">'EXPENDITURE DETAILS'!#REF!</definedName>
    <definedName name="t1totpercap">'EXPENDITURE DETAILS'!#REF!</definedName>
    <definedName name="t1yobgadmin">'EXPENDITURE DETAILS'!$E$137</definedName>
    <definedName name="t1yobgcbo">'EXPENDITURE DETAILS'!$E$135</definedName>
    <definedName name="t1yobgequip">'EXPENDITURE DETAILS'!$E$136</definedName>
    <definedName name="t1yobgothr1">'EXPENDITURE DETAILS'!$E$139</definedName>
    <definedName name="t1yobgothr2">'EXPENDITURE DETAILS'!$E$140</definedName>
    <definedName name="t1yobgothr3">'EXPENDITURE DETAILS'!$E$141</definedName>
    <definedName name="t1yobgpercap">'EXPENDITURE DETAILS'!#REF!</definedName>
    <definedName name="t1yobgprof">'EXPENDITURE DETAILS'!$E$134</definedName>
    <definedName name="t1yobgsal">'EXPENDITURE DETAILS'!$E$132</definedName>
    <definedName name="t1yobgserv">'EXPENDITURE DETAILS'!$E$133</definedName>
    <definedName name="t1yobgtot">'EXPENDITURE DETAILS'!$E$142</definedName>
    <definedName name="t1youth1">'EXPENDITURE DETAILS'!#REF!</definedName>
    <definedName name="t1youth2">'EXPENDITURE DETAILS'!#REF!</definedName>
    <definedName name="t1youth3">'EXPENDITURE DETAILS'!#REF!</definedName>
    <definedName name="t1youth4">'EXPENDITURE DETAILS'!#REF!</definedName>
    <definedName name="t1youth5">'EXPENDITURE DETAILS'!#REF!</definedName>
    <definedName name="t1youth6">'EXPENDITURE DETAILS'!#REF!</definedName>
    <definedName name="t2barrier">'EXPENDITURE DETAILS'!#REF!</definedName>
    <definedName name="t2cap">'EXPENDITURE DETAILS'!#REF!</definedName>
    <definedName name="t2casecount">'EXPENDITURE DETAILS'!#REF!</definedName>
    <definedName name="t2ebp">'EXPENDITURE DETAILS'!#REF!</definedName>
    <definedName name="t2funds">'EXPENDITURE DETAILS'!#REF!</definedName>
    <definedName name="t2goal">'EXPENDITURE DETAILS'!#REF!</definedName>
    <definedName name="t2jjcpaadmin">'EXPENDITURE DETAILS'!#REF!</definedName>
    <definedName name="t2jjcpacbo">'EXPENDITURE DETAILS'!#REF!</definedName>
    <definedName name="t2jjcpaequip">'EXPENDITURE DETAILS'!#REF!</definedName>
    <definedName name="t2jjcpaothr1">'EXPENDITURE DETAILS'!#REF!</definedName>
    <definedName name="t2jjcpaothr2">'EXPENDITURE DETAILS'!#REF!</definedName>
    <definedName name="t2jjcpaothr3">'EXPENDITURE DETAILS'!#REF!</definedName>
    <definedName name="t2jjcpaprof">'EXPENDITURE DETAILS'!#REF!</definedName>
    <definedName name="t2jjcpasal">'EXPENDITURE DETAILS'!#REF!</definedName>
    <definedName name="t2jjcpaserv">'EXPENDITURE DETAILS'!#REF!</definedName>
    <definedName name="t2jjcpatot">'EXPENDITURE DETAILS'!#REF!</definedName>
    <definedName name="t2location">'EXPENDITURE DETAILS'!#REF!</definedName>
    <definedName name="t2nar">'EXPENDITURE DETAILS'!#REF!</definedName>
    <definedName name="t2numcode">'EXPENDITURE DETAILS'!#REF!</definedName>
    <definedName name="t2other1">'EXPENDITURE DETAILS'!#REF!</definedName>
    <definedName name="t2other2">'EXPENDITURE DETAILS'!#REF!</definedName>
    <definedName name="t2other3">'EXPENDITURE DETAILS'!#REF!</definedName>
    <definedName name="t2otheradmin">'EXPENDITURE DETAILS'!#REF!</definedName>
    <definedName name="t2othercbo">'EXPENDITURE DETAILS'!#REF!</definedName>
    <definedName name="t2otherequip">'EXPENDITURE DETAILS'!#REF!</definedName>
    <definedName name="t2otherothr1">'EXPENDITURE DETAILS'!#REF!</definedName>
    <definedName name="t2otherothr2">'EXPENDITURE DETAILS'!#REF!</definedName>
    <definedName name="t2otherothr3">'EXPENDITURE DETAILS'!#REF!</definedName>
    <definedName name="t2otherprof">'EXPENDITURE DETAILS'!#REF!</definedName>
    <definedName name="t2othersal">'EXPENDITURE DETAILS'!#REF!</definedName>
    <definedName name="t2otherserv">'EXPENDITURE DETAILS'!#REF!</definedName>
    <definedName name="t2othertot">'EXPENDITURE DETAILS'!#REF!</definedName>
    <definedName name="t2progname">'EXPENDITURE DETAILS'!#REF!</definedName>
    <definedName name="t2prognamealt">'EXPENDITURE DETAILS'!#REF!</definedName>
    <definedName name="t2totpercap">'EXPENDITURE DETAILS'!#REF!</definedName>
    <definedName name="t2yobgadmin">'EXPENDITURE DETAILS'!#REF!</definedName>
    <definedName name="t2yobgcbo">'EXPENDITURE DETAILS'!#REF!</definedName>
    <definedName name="t2yobgequip">'EXPENDITURE DETAILS'!#REF!</definedName>
    <definedName name="t2yobgothr1">'EXPENDITURE DETAILS'!#REF!</definedName>
    <definedName name="t2yobgothr2">'EXPENDITURE DETAILS'!#REF!</definedName>
    <definedName name="t2yobgothr3">'EXPENDITURE DETAILS'!#REF!</definedName>
    <definedName name="t2yobgpercap">'EXPENDITURE DETAILS'!#REF!</definedName>
    <definedName name="t2yobgprof">'EXPENDITURE DETAILS'!#REF!</definedName>
    <definedName name="t2yobgsal">'EXPENDITURE DETAILS'!#REF!</definedName>
    <definedName name="t2yobgserv">'EXPENDITURE DETAILS'!#REF!</definedName>
    <definedName name="t2yobgtot">'EXPENDITURE DETAILS'!#REF!</definedName>
    <definedName name="t2youth1">'EXPENDITURE DETAILS'!#REF!</definedName>
    <definedName name="t2youth2">'EXPENDITURE DETAILS'!#REF!</definedName>
    <definedName name="t2youth3">'EXPENDITURE DETAILS'!#REF!</definedName>
    <definedName name="t2youth4">'EXPENDITURE DETAILS'!#REF!</definedName>
    <definedName name="t2youth5">'EXPENDITURE DETAILS'!#REF!</definedName>
    <definedName name="t2youth6">'EXPENDITURE DETAILS'!#REF!</definedName>
    <definedName name="t3barrier">'EXPENDITURE DETAILS'!#REF!</definedName>
    <definedName name="t3cap">'EXPENDITURE DETAILS'!#REF!</definedName>
    <definedName name="t3casecount">'EXPENDITURE DETAILS'!#REF!</definedName>
    <definedName name="t3ebp">'EXPENDITURE DETAILS'!#REF!</definedName>
    <definedName name="t3funds">'EXPENDITURE DETAILS'!#REF!</definedName>
    <definedName name="t3goal">'EXPENDITURE DETAILS'!#REF!</definedName>
    <definedName name="t3jjcpaadmin">'EXPENDITURE DETAILS'!#REF!</definedName>
    <definedName name="t3jjcpacbo">'EXPENDITURE DETAILS'!#REF!</definedName>
    <definedName name="t3jjcpaequip">'EXPENDITURE DETAILS'!#REF!</definedName>
    <definedName name="t3jjcpaothr1">'EXPENDITURE DETAILS'!#REF!</definedName>
    <definedName name="t3jjcpaothr2">'EXPENDITURE DETAILS'!#REF!</definedName>
    <definedName name="t3jjcpaothr3">'EXPENDITURE DETAILS'!#REF!</definedName>
    <definedName name="t3jjcpaprof">'EXPENDITURE DETAILS'!#REF!</definedName>
    <definedName name="t3jjcpasal">'EXPENDITURE DETAILS'!#REF!</definedName>
    <definedName name="t3jjcpaserv">'EXPENDITURE DETAILS'!#REF!</definedName>
    <definedName name="t3jjcpatot">'EXPENDITURE DETAILS'!#REF!</definedName>
    <definedName name="t3location">'EXPENDITURE DETAILS'!#REF!</definedName>
    <definedName name="t3nar">'EXPENDITURE DETAILS'!#REF!</definedName>
    <definedName name="t3numcode">'EXPENDITURE DETAILS'!#REF!</definedName>
    <definedName name="t3other1">'EXPENDITURE DETAILS'!#REF!</definedName>
    <definedName name="t3other2">'EXPENDITURE DETAILS'!#REF!</definedName>
    <definedName name="t3other3">'EXPENDITURE DETAILS'!#REF!</definedName>
    <definedName name="t3otheradmin">'EXPENDITURE DETAILS'!#REF!</definedName>
    <definedName name="t3othercbo">'EXPENDITURE DETAILS'!#REF!</definedName>
    <definedName name="t3otherequip">'EXPENDITURE DETAILS'!#REF!</definedName>
    <definedName name="t3otherothr1">'EXPENDITURE DETAILS'!#REF!</definedName>
    <definedName name="t3otherothr2">'EXPENDITURE DETAILS'!#REF!</definedName>
    <definedName name="t3otherothr3">'EXPENDITURE DETAILS'!#REF!</definedName>
    <definedName name="t3otherprof">'EXPENDITURE DETAILS'!#REF!</definedName>
    <definedName name="t3othersal">'EXPENDITURE DETAILS'!#REF!</definedName>
    <definedName name="t3otherserv">'EXPENDITURE DETAILS'!#REF!</definedName>
    <definedName name="t3othertot">'EXPENDITURE DETAILS'!#REF!</definedName>
    <definedName name="t3progname">'EXPENDITURE DETAILS'!#REF!</definedName>
    <definedName name="t3prognamealt">'EXPENDITURE DETAILS'!#REF!</definedName>
    <definedName name="t3totpercap">'EXPENDITURE DETAILS'!#REF!</definedName>
    <definedName name="t3yobgadmin">'EXPENDITURE DETAILS'!#REF!</definedName>
    <definedName name="t3yobgcbo">'EXPENDITURE DETAILS'!#REF!</definedName>
    <definedName name="t3yobgequip">'EXPENDITURE DETAILS'!#REF!</definedName>
    <definedName name="t3yobgothr1">'EXPENDITURE DETAILS'!#REF!</definedName>
    <definedName name="t3yobgothr2">'EXPENDITURE DETAILS'!#REF!</definedName>
    <definedName name="t3yobgothr3">'EXPENDITURE DETAILS'!#REF!</definedName>
    <definedName name="t3yobgpercap">'EXPENDITURE DETAILS'!#REF!</definedName>
    <definedName name="t3yobgprof">'EXPENDITURE DETAILS'!#REF!</definedName>
    <definedName name="t3yobgsal">'EXPENDITURE DETAILS'!#REF!</definedName>
    <definedName name="t3yobgserv">'EXPENDITURE DETAILS'!#REF!</definedName>
    <definedName name="t3yobgtot">'EXPENDITURE DETAILS'!#REF!</definedName>
    <definedName name="t3youth1">'EXPENDITURE DETAILS'!#REF!</definedName>
    <definedName name="t3youth2">'EXPENDITURE DETAILS'!#REF!</definedName>
    <definedName name="t3youth3">'EXPENDITURE DETAILS'!#REF!</definedName>
    <definedName name="t3youth4">'EXPENDITURE DETAILS'!#REF!</definedName>
    <definedName name="t3youth5">'EXPENDITURE DETAILS'!#REF!</definedName>
    <definedName name="t3youth6">'EXPENDITURE DETAILS'!#REF!</definedName>
    <definedName name="t4barrier">'EXPENDITURE DETAILS'!#REF!</definedName>
    <definedName name="t4cap">'EXPENDITURE DETAILS'!#REF!</definedName>
    <definedName name="t4casecount">'EXPENDITURE DETAILS'!#REF!</definedName>
    <definedName name="t4ebp">'EXPENDITURE DETAILS'!#REF!</definedName>
    <definedName name="t4funds">'EXPENDITURE DETAILS'!#REF!</definedName>
    <definedName name="t4goal">'EXPENDITURE DETAILS'!#REF!</definedName>
    <definedName name="t4jjcpaadmin">'EXPENDITURE DETAILS'!#REF!</definedName>
    <definedName name="t4jjcpacbo">'EXPENDITURE DETAILS'!#REF!</definedName>
    <definedName name="t4jjcpaequip">'EXPENDITURE DETAILS'!#REF!</definedName>
    <definedName name="t4jjcpaothr1">'EXPENDITURE DETAILS'!#REF!</definedName>
    <definedName name="t4jjcpaothr2">'EXPENDITURE DETAILS'!#REF!</definedName>
    <definedName name="t4jjcpaothr3">'EXPENDITURE DETAILS'!#REF!</definedName>
    <definedName name="t4jjcpaprof">'EXPENDITURE DETAILS'!#REF!</definedName>
    <definedName name="t4jjcpasal">'EXPENDITURE DETAILS'!#REF!</definedName>
    <definedName name="t4jjcpaserv">'EXPENDITURE DETAILS'!#REF!</definedName>
    <definedName name="t4jjcpatot">'EXPENDITURE DETAILS'!#REF!</definedName>
    <definedName name="t4location">'EXPENDITURE DETAILS'!#REF!</definedName>
    <definedName name="t4nar">'EXPENDITURE DETAILS'!#REF!</definedName>
    <definedName name="t4numcode">'EXPENDITURE DETAILS'!#REF!</definedName>
    <definedName name="t4other1">'EXPENDITURE DETAILS'!#REF!</definedName>
    <definedName name="t4other2">'EXPENDITURE DETAILS'!#REF!</definedName>
    <definedName name="t4other3">'EXPENDITURE DETAILS'!#REF!</definedName>
    <definedName name="t4otheradmin">'EXPENDITURE DETAILS'!#REF!</definedName>
    <definedName name="t4othercbo">'EXPENDITURE DETAILS'!#REF!</definedName>
    <definedName name="t4otherequip">'EXPENDITURE DETAILS'!#REF!</definedName>
    <definedName name="t4otherothr1">'EXPENDITURE DETAILS'!#REF!</definedName>
    <definedName name="t4otherothr2">'EXPENDITURE DETAILS'!#REF!</definedName>
    <definedName name="t4otherothr3">'EXPENDITURE DETAILS'!#REF!</definedName>
    <definedName name="t4otherprof">'EXPENDITURE DETAILS'!#REF!</definedName>
    <definedName name="t4othersal">'EXPENDITURE DETAILS'!#REF!</definedName>
    <definedName name="t4otherserv">'EXPENDITURE DETAILS'!#REF!</definedName>
    <definedName name="t4othertot">'EXPENDITURE DETAILS'!#REF!</definedName>
    <definedName name="t4progname">'EXPENDITURE DETAILS'!#REF!</definedName>
    <definedName name="t4prognamealt">'EXPENDITURE DETAILS'!#REF!</definedName>
    <definedName name="t4totpercap">'EXPENDITURE DETAILS'!#REF!</definedName>
    <definedName name="t4yobgadmin">'EXPENDITURE DETAILS'!#REF!</definedName>
    <definedName name="t4yobgcbo">'EXPENDITURE DETAILS'!#REF!</definedName>
    <definedName name="t4yobgequip">'EXPENDITURE DETAILS'!#REF!</definedName>
    <definedName name="t4yobgothr1">'EXPENDITURE DETAILS'!#REF!</definedName>
    <definedName name="t4yobgothr2">'EXPENDITURE DETAILS'!#REF!</definedName>
    <definedName name="t4yobgothr3">'EXPENDITURE DETAILS'!#REF!</definedName>
    <definedName name="t4yobgpercap">'EXPENDITURE DETAILS'!#REF!</definedName>
    <definedName name="t4yobgprof">'EXPENDITURE DETAILS'!#REF!</definedName>
    <definedName name="t4yobgsal">'EXPENDITURE DETAILS'!#REF!</definedName>
    <definedName name="t4yobgserv">'EXPENDITURE DETAILS'!#REF!</definedName>
    <definedName name="t4yobgtot">'EXPENDITURE DETAILS'!#REF!</definedName>
    <definedName name="t4youth1">'EXPENDITURE DETAILS'!#REF!</definedName>
    <definedName name="t4youth2">'EXPENDITURE DETAILS'!#REF!</definedName>
    <definedName name="t4youth3">'EXPENDITURE DETAILS'!#REF!</definedName>
    <definedName name="t4youth4">'EXPENDITURE DETAILS'!#REF!</definedName>
    <definedName name="t4youth5">'EXPENDITURE DETAILS'!#REF!</definedName>
    <definedName name="t4youth6">'EXPENDITURE DETAILS'!#REF!</definedName>
    <definedName name="t5barrier">'EXPENDITURE DETAILS'!#REF!</definedName>
    <definedName name="t5cap">'EXPENDITURE DETAILS'!#REF!</definedName>
    <definedName name="t5casecount">'EXPENDITURE DETAILS'!#REF!</definedName>
    <definedName name="t5ebp">'EXPENDITURE DETAILS'!#REF!</definedName>
    <definedName name="t5funds">'EXPENDITURE DETAILS'!#REF!</definedName>
    <definedName name="t5goal">'EXPENDITURE DETAILS'!#REF!</definedName>
    <definedName name="t5jjcpaadmin">'EXPENDITURE DETAILS'!#REF!</definedName>
    <definedName name="t5jjcpacbo">'EXPENDITURE DETAILS'!#REF!</definedName>
    <definedName name="t5jjcpaequip">'EXPENDITURE DETAILS'!#REF!</definedName>
    <definedName name="t5jjcpaothr1">'EXPENDITURE DETAILS'!#REF!</definedName>
    <definedName name="t5jjcpaothr2">'EXPENDITURE DETAILS'!#REF!</definedName>
    <definedName name="t5jjcpaothr3">'EXPENDITURE DETAILS'!#REF!</definedName>
    <definedName name="t5jjcpaprof">'EXPENDITURE DETAILS'!#REF!</definedName>
    <definedName name="t5jjcpasal">'EXPENDITURE DETAILS'!#REF!</definedName>
    <definedName name="t5jjcpaserv">'EXPENDITURE DETAILS'!#REF!</definedName>
    <definedName name="t5jjcpatot">'EXPENDITURE DETAILS'!#REF!</definedName>
    <definedName name="t5location">'EXPENDITURE DETAILS'!#REF!</definedName>
    <definedName name="t5nar">'EXPENDITURE DETAILS'!#REF!</definedName>
    <definedName name="t5numcode">'EXPENDITURE DETAILS'!#REF!</definedName>
    <definedName name="t5other1">'EXPENDITURE DETAILS'!#REF!</definedName>
    <definedName name="t5other2">'EXPENDITURE DETAILS'!#REF!</definedName>
    <definedName name="t5other3">'EXPENDITURE DETAILS'!#REF!</definedName>
    <definedName name="t5otheradmin">'EXPENDITURE DETAILS'!#REF!</definedName>
    <definedName name="t5othercbo">'EXPENDITURE DETAILS'!#REF!</definedName>
    <definedName name="t5otherequip">'EXPENDITURE DETAILS'!#REF!</definedName>
    <definedName name="t5otherothr1">'EXPENDITURE DETAILS'!#REF!</definedName>
    <definedName name="t5otherothr2">'EXPENDITURE DETAILS'!#REF!</definedName>
    <definedName name="t5otherothr3">'EXPENDITURE DETAILS'!#REF!</definedName>
    <definedName name="t5otherprof">'EXPENDITURE DETAILS'!#REF!</definedName>
    <definedName name="t5othersal">'EXPENDITURE DETAILS'!#REF!</definedName>
    <definedName name="t5otherserv">'EXPENDITURE DETAILS'!#REF!</definedName>
    <definedName name="t5othertot">'EXPENDITURE DETAILS'!#REF!</definedName>
    <definedName name="t5progname">'EXPENDITURE DETAILS'!#REF!</definedName>
    <definedName name="t5prognamealt">'EXPENDITURE DETAILS'!#REF!</definedName>
    <definedName name="t5totpercap">'EXPENDITURE DETAILS'!#REF!</definedName>
    <definedName name="t5yobgadmin">'EXPENDITURE DETAILS'!#REF!</definedName>
    <definedName name="t5yobgcbo">'EXPENDITURE DETAILS'!#REF!</definedName>
    <definedName name="t5yobgequip">'EXPENDITURE DETAILS'!#REF!</definedName>
    <definedName name="t5yobgothr1">'EXPENDITURE DETAILS'!#REF!</definedName>
    <definedName name="t5yobgothr2">'EXPENDITURE DETAILS'!#REF!</definedName>
    <definedName name="t5yobgothr3">'EXPENDITURE DETAILS'!#REF!</definedName>
    <definedName name="t5yobgpercap">'EXPENDITURE DETAILS'!#REF!</definedName>
    <definedName name="t5yobgprof">'EXPENDITURE DETAILS'!#REF!</definedName>
    <definedName name="t5yobgsal">'EXPENDITURE DETAILS'!#REF!</definedName>
    <definedName name="t5yobgserv">'EXPENDITURE DETAILS'!#REF!</definedName>
    <definedName name="t5yobgtot">'EXPENDITURE DETAILS'!#REF!</definedName>
    <definedName name="t5youth1">'EXPENDITURE DETAILS'!#REF!</definedName>
    <definedName name="t5youth2">'EXPENDITURE DETAILS'!#REF!</definedName>
    <definedName name="t5youth3">'EXPENDITURE DETAILS'!#REF!</definedName>
    <definedName name="t5youth4">'EXPENDITURE DETAILS'!#REF!</definedName>
    <definedName name="t5youth5">'EXPENDITURE DETAILS'!#REF!</definedName>
    <definedName name="t5youth6">'EXPENDITURE DETAILS'!#REF!</definedName>
    <definedName name="t6barrier">'EXPENDITURE DETAILS'!#REF!</definedName>
    <definedName name="t6cap">'EXPENDITURE DETAILS'!#REF!</definedName>
    <definedName name="t6casecount">'EXPENDITURE DETAILS'!#REF!</definedName>
    <definedName name="t6ebp">'EXPENDITURE DETAILS'!#REF!</definedName>
    <definedName name="t6funds">'EXPENDITURE DETAILS'!#REF!</definedName>
    <definedName name="t6goal">'EXPENDITURE DETAILS'!#REF!</definedName>
    <definedName name="t6jjcpaadmin">'EXPENDITURE DETAILS'!#REF!</definedName>
    <definedName name="t6jjcpacbo">'EXPENDITURE DETAILS'!#REF!</definedName>
    <definedName name="t6jjcpaequip">'EXPENDITURE DETAILS'!#REF!</definedName>
    <definedName name="t6jjcpaothr1">'EXPENDITURE DETAILS'!#REF!</definedName>
    <definedName name="t6jjcpaothr2">'EXPENDITURE DETAILS'!#REF!</definedName>
    <definedName name="t6jjcpaothr3">'EXPENDITURE DETAILS'!#REF!</definedName>
    <definedName name="t6jjcpaprof">'EXPENDITURE DETAILS'!#REF!</definedName>
    <definedName name="t6jjcpasal">'EXPENDITURE DETAILS'!#REF!</definedName>
    <definedName name="t6jjcpaserv">'EXPENDITURE DETAILS'!#REF!</definedName>
    <definedName name="t6jjcpatot">'EXPENDITURE DETAILS'!#REF!</definedName>
    <definedName name="t6location">'EXPENDITURE DETAILS'!#REF!</definedName>
    <definedName name="t6nar">'EXPENDITURE DETAILS'!#REF!</definedName>
    <definedName name="t6numcode">'EXPENDITURE DETAILS'!#REF!</definedName>
    <definedName name="t6other1">'EXPENDITURE DETAILS'!#REF!</definedName>
    <definedName name="t6other2">'EXPENDITURE DETAILS'!#REF!</definedName>
    <definedName name="t6other3">'EXPENDITURE DETAILS'!#REF!</definedName>
    <definedName name="t6otheradmin">'EXPENDITURE DETAILS'!#REF!</definedName>
    <definedName name="t6othercbo">'EXPENDITURE DETAILS'!#REF!</definedName>
    <definedName name="t6otherequip">'EXPENDITURE DETAILS'!#REF!</definedName>
    <definedName name="t6otherothr1">'EXPENDITURE DETAILS'!#REF!</definedName>
    <definedName name="t6otherothr2">'EXPENDITURE DETAILS'!#REF!</definedName>
    <definedName name="t6otherothr3">'EXPENDITURE DETAILS'!#REF!</definedName>
    <definedName name="t6otherprof">'EXPENDITURE DETAILS'!#REF!</definedName>
    <definedName name="t6othersal">'EXPENDITURE DETAILS'!#REF!</definedName>
    <definedName name="t6otherserv">'EXPENDITURE DETAILS'!#REF!</definedName>
    <definedName name="t6othertot">'EXPENDITURE DETAILS'!#REF!</definedName>
    <definedName name="t6progname">'EXPENDITURE DETAILS'!#REF!</definedName>
    <definedName name="t6prognamealt">'EXPENDITURE DETAILS'!#REF!</definedName>
    <definedName name="t6totpercap">'EXPENDITURE DETAILS'!#REF!</definedName>
    <definedName name="t6yobgadmin">'EXPENDITURE DETAILS'!#REF!</definedName>
    <definedName name="t6yobgcbo">'EXPENDITURE DETAILS'!#REF!</definedName>
    <definedName name="t6yobgequip">'EXPENDITURE DETAILS'!#REF!</definedName>
    <definedName name="t6yobgothr1">'EXPENDITURE DETAILS'!#REF!</definedName>
    <definedName name="t6yobgothr2">'EXPENDITURE DETAILS'!#REF!</definedName>
    <definedName name="t6yobgothr3">'EXPENDITURE DETAILS'!#REF!</definedName>
    <definedName name="t6yobgpercap">'EXPENDITURE DETAILS'!#REF!</definedName>
    <definedName name="t6yobgprof">'EXPENDITURE DETAILS'!#REF!</definedName>
    <definedName name="t6yobgsal">'EXPENDITURE DETAILS'!#REF!</definedName>
    <definedName name="t6yobgserv">'EXPENDITURE DETAILS'!#REF!</definedName>
    <definedName name="t6yobgtot">'EXPENDITURE DETAILS'!#REF!</definedName>
    <definedName name="t6youth1">'EXPENDITURE DETAILS'!#REF!</definedName>
    <definedName name="t6youth2">'EXPENDITURE DETAILS'!#REF!</definedName>
    <definedName name="t6youth3">'EXPENDITURE DETAILS'!#REF!</definedName>
    <definedName name="t6youth4">'EXPENDITURE DETAILS'!#REF!</definedName>
    <definedName name="t6youth5">'EXPENDITURE DETAILS'!#REF!</definedName>
    <definedName name="t6youth6">'EXPENDITURE DETAILS'!#REF!</definedName>
    <definedName name="t7barrier">'EXPENDITURE DETAILS'!#REF!</definedName>
    <definedName name="t7cap">'EXPENDITURE DETAILS'!#REF!</definedName>
    <definedName name="t7casecount">'EXPENDITURE DETAILS'!#REF!</definedName>
    <definedName name="t7ebp">'EXPENDITURE DETAILS'!#REF!</definedName>
    <definedName name="t7funds">'EXPENDITURE DETAILS'!#REF!</definedName>
    <definedName name="t7goal">'EXPENDITURE DETAILS'!#REF!</definedName>
    <definedName name="t7jjcpaadmin">'EXPENDITURE DETAILS'!#REF!</definedName>
    <definedName name="t7jjcpacbo">'EXPENDITURE DETAILS'!#REF!</definedName>
    <definedName name="t7jjcpaequip">'EXPENDITURE DETAILS'!#REF!</definedName>
    <definedName name="t7jjcpaothr1">'EXPENDITURE DETAILS'!#REF!</definedName>
    <definedName name="t7jjcpaothr2">'EXPENDITURE DETAILS'!#REF!</definedName>
    <definedName name="t7jjcpaothr3">'EXPENDITURE DETAILS'!#REF!</definedName>
    <definedName name="t7jjcpaprof">'EXPENDITURE DETAILS'!#REF!</definedName>
    <definedName name="t7jjcpasal">'EXPENDITURE DETAILS'!#REF!</definedName>
    <definedName name="t7jjcpaserv">'EXPENDITURE DETAILS'!#REF!</definedName>
    <definedName name="t7jjcpatot">'EXPENDITURE DETAILS'!#REF!</definedName>
    <definedName name="t7location">'EXPENDITURE DETAILS'!#REF!</definedName>
    <definedName name="t7nar">'EXPENDITURE DETAILS'!#REF!</definedName>
    <definedName name="t7numcode">'EXPENDITURE DETAILS'!#REF!</definedName>
    <definedName name="t7other1">'EXPENDITURE DETAILS'!#REF!</definedName>
    <definedName name="t7other2">'EXPENDITURE DETAILS'!#REF!</definedName>
    <definedName name="t7other3">'EXPENDITURE DETAILS'!#REF!</definedName>
    <definedName name="t7otheradmin">'EXPENDITURE DETAILS'!#REF!</definedName>
    <definedName name="t7othercbo">'EXPENDITURE DETAILS'!#REF!</definedName>
    <definedName name="t7otherequip">'EXPENDITURE DETAILS'!#REF!</definedName>
    <definedName name="t7otherothr1">'EXPENDITURE DETAILS'!#REF!</definedName>
    <definedName name="t7otherothr2">'EXPENDITURE DETAILS'!#REF!</definedName>
    <definedName name="t7otherothr3">'EXPENDITURE DETAILS'!#REF!</definedName>
    <definedName name="t7otherprof">'EXPENDITURE DETAILS'!#REF!</definedName>
    <definedName name="t7othersal">'EXPENDITURE DETAILS'!#REF!</definedName>
    <definedName name="t7otherserv">'EXPENDITURE DETAILS'!#REF!</definedName>
    <definedName name="t7othertot">'EXPENDITURE DETAILS'!#REF!</definedName>
    <definedName name="t7progname">'EXPENDITURE DETAILS'!#REF!</definedName>
    <definedName name="t7prognamealt">'EXPENDITURE DETAILS'!#REF!</definedName>
    <definedName name="t7totpercap">'EXPENDITURE DETAILS'!#REF!</definedName>
    <definedName name="t7yobgadmin">'EXPENDITURE DETAILS'!#REF!</definedName>
    <definedName name="t7yobgcbo">'EXPENDITURE DETAILS'!#REF!</definedName>
    <definedName name="t7yobgequip">'EXPENDITURE DETAILS'!#REF!</definedName>
    <definedName name="t7yobgothr1">'EXPENDITURE DETAILS'!#REF!</definedName>
    <definedName name="t7yobgothr2">'EXPENDITURE DETAILS'!#REF!</definedName>
    <definedName name="t7yobgothr3">'EXPENDITURE DETAILS'!#REF!</definedName>
    <definedName name="t7yobgpercap">'EXPENDITURE DETAILS'!#REF!</definedName>
    <definedName name="t7yobgprof">'EXPENDITURE DETAILS'!#REF!</definedName>
    <definedName name="t7yobgsal">'EXPENDITURE DETAILS'!#REF!</definedName>
    <definedName name="t7yobgserv">'EXPENDITURE DETAILS'!#REF!</definedName>
    <definedName name="t7yobgtot">'EXPENDITURE DETAILS'!#REF!</definedName>
    <definedName name="t7youth1">'EXPENDITURE DETAILS'!#REF!</definedName>
    <definedName name="t7youth2">'EXPENDITURE DETAILS'!#REF!</definedName>
    <definedName name="t7youth3">'EXPENDITURE DETAILS'!#REF!</definedName>
    <definedName name="t7youth4">'EXPENDITURE DETAILS'!#REF!</definedName>
    <definedName name="t7youth5">'EXPENDITURE DETAILS'!#REF!</definedName>
    <definedName name="t7youth6">'EXPENDITURE DETAILS'!#REF!</definedName>
    <definedName name="t8barrier">'EXPENDITURE DETAILS'!#REF!</definedName>
    <definedName name="t8cap">'EXPENDITURE DETAILS'!#REF!</definedName>
    <definedName name="t8casecount">'EXPENDITURE DETAILS'!#REF!</definedName>
    <definedName name="t8ebp">'EXPENDITURE DETAILS'!#REF!</definedName>
    <definedName name="t8funds">'EXPENDITURE DETAILS'!#REF!</definedName>
    <definedName name="t8goal">'EXPENDITURE DETAILS'!#REF!</definedName>
    <definedName name="t8jjcpaadmin">'EXPENDITURE DETAILS'!#REF!</definedName>
    <definedName name="t8jjcpacbo">'EXPENDITURE DETAILS'!#REF!</definedName>
    <definedName name="t8jjcpaequip">'EXPENDITURE DETAILS'!#REF!</definedName>
    <definedName name="t8jjcpaothr1">'EXPENDITURE DETAILS'!#REF!</definedName>
    <definedName name="t8jjcpaothr2">'EXPENDITURE DETAILS'!#REF!</definedName>
    <definedName name="t8jjcpaothr3">'EXPENDITURE DETAILS'!#REF!</definedName>
    <definedName name="t8jjcpaprof">'EXPENDITURE DETAILS'!#REF!</definedName>
    <definedName name="t8jjcpasal">'EXPENDITURE DETAILS'!#REF!</definedName>
    <definedName name="t8jjcpaserv">'EXPENDITURE DETAILS'!#REF!</definedName>
    <definedName name="t8jjcpatot">'EXPENDITURE DETAILS'!#REF!</definedName>
    <definedName name="t8location">'EXPENDITURE DETAILS'!#REF!</definedName>
    <definedName name="t8nar">'EXPENDITURE DETAILS'!#REF!</definedName>
    <definedName name="t8numcode">'EXPENDITURE DETAILS'!#REF!</definedName>
    <definedName name="t8other1">'EXPENDITURE DETAILS'!#REF!</definedName>
    <definedName name="t8other2">'EXPENDITURE DETAILS'!#REF!</definedName>
    <definedName name="t8other3">'EXPENDITURE DETAILS'!#REF!</definedName>
    <definedName name="t8otheradmin">'EXPENDITURE DETAILS'!#REF!</definedName>
    <definedName name="t8othercbo">'EXPENDITURE DETAILS'!#REF!</definedName>
    <definedName name="t8otherequip">'EXPENDITURE DETAILS'!#REF!</definedName>
    <definedName name="t8otherothr1">'EXPENDITURE DETAILS'!#REF!</definedName>
    <definedName name="t8otherothr2">'EXPENDITURE DETAILS'!#REF!</definedName>
    <definedName name="t8otherothr3">'EXPENDITURE DETAILS'!#REF!</definedName>
    <definedName name="t8otherprof">'EXPENDITURE DETAILS'!#REF!</definedName>
    <definedName name="t8othersal">'EXPENDITURE DETAILS'!#REF!</definedName>
    <definedName name="t8othersbo">'EXPENDITURE DETAILS'!#REF!</definedName>
    <definedName name="t8otherserv">'EXPENDITURE DETAILS'!#REF!</definedName>
    <definedName name="t8othertot">'EXPENDITURE DETAILS'!#REF!</definedName>
    <definedName name="t8progname">'EXPENDITURE DETAILS'!#REF!</definedName>
    <definedName name="t8prognamealt">'EXPENDITURE DETAILS'!#REF!</definedName>
    <definedName name="t8totpercap">'EXPENDITURE DETAILS'!#REF!</definedName>
    <definedName name="t8yobgadmin">'EXPENDITURE DETAILS'!#REF!</definedName>
    <definedName name="t8yobgcbo">'EXPENDITURE DETAILS'!#REF!</definedName>
    <definedName name="t8yobgequip">'EXPENDITURE DETAILS'!#REF!</definedName>
    <definedName name="t8yobgothr1">'EXPENDITURE DETAILS'!#REF!</definedName>
    <definedName name="t8yobgothr2">'EXPENDITURE DETAILS'!#REF!</definedName>
    <definedName name="t8yobgothr3">'EXPENDITURE DETAILS'!#REF!</definedName>
    <definedName name="t8yobgpercap">'EXPENDITURE DETAILS'!#REF!</definedName>
    <definedName name="t8yobgprof">'EXPENDITURE DETAILS'!#REF!</definedName>
    <definedName name="t8yobgsal">'EXPENDITURE DETAILS'!#REF!</definedName>
    <definedName name="t8yobgserv">'EXPENDITURE DETAILS'!#REF!</definedName>
    <definedName name="t8yobgsrv">'EXPENDITURE DETAILS'!#REF!</definedName>
    <definedName name="t8yobgtot">'EXPENDITURE DETAILS'!#REF!</definedName>
    <definedName name="t8youth1">'EXPENDITURE DETAILS'!#REF!</definedName>
    <definedName name="t8youth2">'EXPENDITURE DETAILS'!#REF!</definedName>
    <definedName name="t8youth3">'EXPENDITURE DETAILS'!#REF!</definedName>
    <definedName name="t8youth4">'EXPENDITURE DETAILS'!#REF!</definedName>
    <definedName name="t8youth5">'EXPENDITURE DETAILS'!#REF!</definedName>
    <definedName name="t8youth6">'EXPENDITURE DETAILS'!#REF!</definedName>
    <definedName name="t9barrier">'EXPENDITURE DETAILS'!#REF!</definedName>
    <definedName name="t9cap">'EXPENDITURE DETAILS'!#REF!</definedName>
    <definedName name="t9casecount">'EXPENDITURE DETAILS'!#REF!</definedName>
    <definedName name="t9ebp">'EXPENDITURE DETAILS'!#REF!</definedName>
    <definedName name="t9funds">'EXPENDITURE DETAILS'!#REF!</definedName>
    <definedName name="t9goal">'EXPENDITURE DETAILS'!#REF!</definedName>
    <definedName name="t9jjcpaadmin">'EXPENDITURE DETAILS'!#REF!</definedName>
    <definedName name="t9jjcpacbo">'EXPENDITURE DETAILS'!#REF!</definedName>
    <definedName name="t9jjcpaequip">'EXPENDITURE DETAILS'!#REF!</definedName>
    <definedName name="t9jjcpaothr1">'EXPENDITURE DETAILS'!#REF!</definedName>
    <definedName name="t9jjcpaothr2">'EXPENDITURE DETAILS'!#REF!</definedName>
    <definedName name="t9jjcpaothr3">'EXPENDITURE DETAILS'!#REF!</definedName>
    <definedName name="t9jjcpaprof">'EXPENDITURE DETAILS'!#REF!</definedName>
    <definedName name="t9jjcpasal">'EXPENDITURE DETAILS'!#REF!</definedName>
    <definedName name="t9jjcpaserv">'EXPENDITURE DETAILS'!#REF!</definedName>
    <definedName name="t9jjcpatot">'EXPENDITURE DETAILS'!#REF!</definedName>
    <definedName name="t9location">'EXPENDITURE DETAILS'!#REF!</definedName>
    <definedName name="t9nar">'EXPENDITURE DETAILS'!#REF!</definedName>
    <definedName name="t9numcode">'EXPENDITURE DETAILS'!#REF!</definedName>
    <definedName name="t9other1">'EXPENDITURE DETAILS'!#REF!</definedName>
    <definedName name="t9other2">'EXPENDITURE DETAILS'!#REF!</definedName>
    <definedName name="t9other3">'EXPENDITURE DETAILS'!#REF!</definedName>
    <definedName name="t9otheradmin">'EXPENDITURE DETAILS'!#REF!</definedName>
    <definedName name="t9othercbo">'EXPENDITURE DETAILS'!#REF!</definedName>
    <definedName name="t9otherequip">'EXPENDITURE DETAILS'!#REF!</definedName>
    <definedName name="t9otherothr1">'EXPENDITURE DETAILS'!#REF!</definedName>
    <definedName name="t9otherothr2">'EXPENDITURE DETAILS'!#REF!</definedName>
    <definedName name="t9otherothr3">'EXPENDITURE DETAILS'!#REF!</definedName>
    <definedName name="t9otherprof">'EXPENDITURE DETAILS'!#REF!</definedName>
    <definedName name="t9othersal">'EXPENDITURE DETAILS'!#REF!</definedName>
    <definedName name="t9otherserv">'EXPENDITURE DETAILS'!#REF!</definedName>
    <definedName name="t9othertot">'EXPENDITURE DETAILS'!#REF!</definedName>
    <definedName name="t9progname">'EXPENDITURE DETAILS'!#REF!</definedName>
    <definedName name="t9prognamealt">'EXPENDITURE DETAILS'!#REF!</definedName>
    <definedName name="t9totpercap">'EXPENDITURE DETAILS'!#REF!</definedName>
    <definedName name="t9yobgadmin">'EXPENDITURE DETAILS'!#REF!</definedName>
    <definedName name="t9yobgcbo">'EXPENDITURE DETAILS'!#REF!</definedName>
    <definedName name="t9yobgequip">'EXPENDITURE DETAILS'!#REF!</definedName>
    <definedName name="t9yobgothr1">'EXPENDITURE DETAILS'!#REF!</definedName>
    <definedName name="t9yobgothr2">'EXPENDITURE DETAILS'!#REF!</definedName>
    <definedName name="t9yobgothr3">'EXPENDITURE DETAILS'!#REF!</definedName>
    <definedName name="t9yobgpercap">'EXPENDITURE DETAILS'!#REF!</definedName>
    <definedName name="t9yobgprof">'EXPENDITURE DETAILS'!#REF!</definedName>
    <definedName name="t9yobgsal">'EXPENDITURE DETAILS'!#REF!</definedName>
    <definedName name="t9yobgserv">'EXPENDITURE DETAILS'!#REF!</definedName>
    <definedName name="t9yobgtot">'EXPENDITURE DETAILS'!#REF!</definedName>
    <definedName name="t9youth1">'EXPENDITURE DETAILS'!#REF!</definedName>
    <definedName name="t9youth2">'EXPENDITURE DETAILS'!#REF!</definedName>
    <definedName name="t9youth3">'EXPENDITURE DETAILS'!#REF!</definedName>
    <definedName name="t9youth4">'EXPENDITURE DETAILS'!#REF!</definedName>
    <definedName name="t9youth5">'EXPENDITURE DETAILS'!#REF!</definedName>
    <definedName name="t9youth6">'EXPENDITURE DETAILS'!#REF!</definedName>
    <definedName name="tibarriers">'EXPENDITURE DETAILS'!#REF!</definedName>
    <definedName name="tinumcode">#REF!</definedName>
    <definedName name="tot0708allo">#REF!</definedName>
    <definedName name="tot0809all">#REF!</definedName>
    <definedName name="tot0910all">#REF!</definedName>
    <definedName name="tot3yrall">#REF!</definedName>
    <definedName name="tot4yrall">#REF!</definedName>
    <definedName name="totforall">#REF!</definedName>
    <definedName name="totyobgexp">#REF!</definedName>
    <definedName name="YESNO">tables!$F$24:$F$25</definedName>
    <definedName name="YLSCMI">'YOBG-FUNDED ASSESSMENTS'!$I$18</definedName>
    <definedName name="Youthtype">tables!$G$24:$G$42</definedName>
    <definedName name="ZIP">'CONTACT INFORMATION'!#REF!</definedName>
    <definedName name="zip2">'CONTACT INFORMATION'!#REF!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38" i="7" l="1"/>
  <c r="G185" i="7"/>
  <c r="E133" i="7"/>
  <c r="I1058" i="44" l="1"/>
  <c r="G1058" i="44"/>
  <c r="E1058" i="44"/>
  <c r="I1001" i="44"/>
  <c r="G1001" i="44"/>
  <c r="E1001" i="44"/>
  <c r="H984" i="44"/>
  <c r="I943" i="44"/>
  <c r="G943" i="44"/>
  <c r="E943" i="44"/>
  <c r="H926" i="44"/>
  <c r="I885" i="44"/>
  <c r="G885" i="44"/>
  <c r="E885" i="44"/>
  <c r="H868" i="44"/>
  <c r="I827" i="44"/>
  <c r="G827" i="44"/>
  <c r="E827" i="44"/>
  <c r="H810" i="44"/>
  <c r="I769" i="44"/>
  <c r="G769" i="44"/>
  <c r="E769" i="44"/>
  <c r="H752" i="44"/>
  <c r="I711" i="44"/>
  <c r="G711" i="44"/>
  <c r="E711" i="44"/>
  <c r="H694" i="44"/>
  <c r="I653" i="44"/>
  <c r="G653" i="44"/>
  <c r="E653" i="44"/>
  <c r="H636" i="44"/>
  <c r="I595" i="44"/>
  <c r="G595" i="44"/>
  <c r="E595" i="44"/>
  <c r="H578" i="44"/>
  <c r="I537" i="44"/>
  <c r="E537" i="44"/>
  <c r="H520" i="44"/>
  <c r="I479" i="44"/>
  <c r="G479" i="44"/>
  <c r="E479" i="44"/>
  <c r="H462" i="44"/>
  <c r="I421" i="44"/>
  <c r="G421" i="44"/>
  <c r="E421" i="44"/>
  <c r="H404" i="44"/>
  <c r="I363" i="44"/>
  <c r="G363" i="44"/>
  <c r="E363" i="44"/>
  <c r="H346" i="44"/>
  <c r="I305" i="44"/>
  <c r="G305" i="44"/>
  <c r="E305" i="44"/>
  <c r="H288" i="44"/>
  <c r="I247" i="44"/>
  <c r="G247" i="44"/>
  <c r="E247" i="44"/>
  <c r="I194" i="44"/>
  <c r="G194" i="44"/>
  <c r="E194" i="44"/>
  <c r="I142" i="44"/>
  <c r="G142" i="44"/>
  <c r="E142" i="44"/>
  <c r="H125" i="44"/>
  <c r="H65" i="44"/>
  <c r="H1" i="44"/>
  <c r="H1" i="7" l="1"/>
  <c r="H926" i="7" l="1"/>
  <c r="H868" i="7"/>
  <c r="H810" i="7"/>
  <c r="H752" i="7"/>
  <c r="H694" i="7"/>
  <c r="H636" i="7"/>
  <c r="H578" i="7"/>
  <c r="H520" i="7"/>
  <c r="H462" i="7"/>
  <c r="H404" i="7"/>
  <c r="H346" i="7"/>
  <c r="H288" i="7"/>
  <c r="H230" i="7"/>
  <c r="H177" i="7"/>
  <c r="H125" i="7"/>
  <c r="G12" i="43" l="1"/>
  <c r="D28" i="38" s="1"/>
  <c r="G18" i="43"/>
  <c r="J28" i="38" s="1"/>
  <c r="G1" i="43" l="1"/>
  <c r="I943" i="7" l="1"/>
  <c r="G943" i="7"/>
  <c r="E943" i="7"/>
  <c r="I885" i="7"/>
  <c r="G885" i="7"/>
  <c r="E885" i="7"/>
  <c r="I827" i="7"/>
  <c r="G827" i="7"/>
  <c r="E827" i="7"/>
  <c r="I769" i="7"/>
  <c r="G769" i="7"/>
  <c r="E769" i="7"/>
  <c r="I711" i="7"/>
  <c r="G711" i="7"/>
  <c r="E711" i="7"/>
  <c r="I653" i="7"/>
  <c r="G653" i="7"/>
  <c r="E653" i="7"/>
  <c r="I595" i="7"/>
  <c r="G595" i="7"/>
  <c r="E595" i="7"/>
  <c r="I537" i="7"/>
  <c r="G537" i="7"/>
  <c r="E537" i="7"/>
  <c r="I479" i="7"/>
  <c r="G479" i="7"/>
  <c r="E479" i="7"/>
  <c r="I421" i="7"/>
  <c r="G421" i="7"/>
  <c r="E421" i="7"/>
  <c r="I363" i="7"/>
  <c r="G363" i="7"/>
  <c r="E363" i="7"/>
  <c r="I305" i="7"/>
  <c r="G305" i="7"/>
  <c r="E305" i="7"/>
  <c r="I247" i="7"/>
  <c r="G247" i="7"/>
  <c r="E247" i="7"/>
  <c r="J26" i="37" l="1"/>
  <c r="D21" i="38" s="1"/>
  <c r="H1" i="39" l="1"/>
  <c r="H3" i="38" l="1"/>
  <c r="H65" i="7"/>
  <c r="J44" i="37"/>
  <c r="J21" i="38" s="1"/>
  <c r="J34" i="37"/>
  <c r="J17" i="38" s="1"/>
  <c r="J9" i="37"/>
  <c r="D17" i="38" s="1"/>
  <c r="K1" i="37"/>
  <c r="I27" i="36" l="1"/>
  <c r="J10" i="38" s="1"/>
  <c r="D10" i="38"/>
  <c r="K1" i="36"/>
  <c r="I194" i="7" l="1"/>
  <c r="G194" i="7"/>
  <c r="E194" i="7"/>
  <c r="EU2" i="35"/>
  <c r="B151" i="30"/>
  <c r="HA2" i="35"/>
  <c r="GY2" i="35"/>
  <c r="GX2" i="35"/>
  <c r="GV2" i="35"/>
  <c r="GT2" i="35"/>
  <c r="GS2" i="35"/>
  <c r="GQ2" i="35"/>
  <c r="GO2" i="35"/>
  <c r="GN2" i="35"/>
  <c r="GL2" i="35"/>
  <c r="GJ2" i="35"/>
  <c r="GI2" i="35"/>
  <c r="GG2" i="35"/>
  <c r="GE2" i="35"/>
  <c r="GD2" i="35"/>
  <c r="GB2" i="35"/>
  <c r="FZ2" i="35"/>
  <c r="FY2" i="35"/>
  <c r="FW2" i="35"/>
  <c r="FU2" i="35"/>
  <c r="FT2" i="35"/>
  <c r="FR2" i="35"/>
  <c r="FP2" i="35"/>
  <c r="FO2" i="35"/>
  <c r="FM2" i="35"/>
  <c r="FK2" i="35"/>
  <c r="FJ2" i="35"/>
  <c r="FH2" i="35"/>
  <c r="FF2" i="35"/>
  <c r="FE2" i="35"/>
  <c r="FD2" i="35"/>
  <c r="FA2" i="35"/>
  <c r="EZ2" i="35"/>
  <c r="EY2" i="35"/>
  <c r="EX2" i="35"/>
  <c r="EW2" i="35"/>
  <c r="EV2" i="35"/>
  <c r="ES2" i="35"/>
  <c r="ER2" i="35"/>
  <c r="EQ2" i="35"/>
  <c r="EP2" i="35"/>
  <c r="EO2" i="35"/>
  <c r="EN2" i="35"/>
  <c r="EM2" i="35"/>
  <c r="EJ2" i="35"/>
  <c r="EI2" i="35"/>
  <c r="EH2" i="35"/>
  <c r="EG2" i="35"/>
  <c r="EF2" i="35"/>
  <c r="EE2" i="35"/>
  <c r="ED2" i="35"/>
  <c r="EC2" i="35"/>
  <c r="EB2" i="35"/>
  <c r="EA2" i="35"/>
  <c r="DZ2" i="35"/>
  <c r="DY2" i="35"/>
  <c r="DV2" i="35"/>
  <c r="DU2" i="35"/>
  <c r="DT2" i="35"/>
  <c r="DS2" i="35"/>
  <c r="DR2" i="35"/>
  <c r="DQ2" i="35"/>
  <c r="DP2" i="35"/>
  <c r="DO2" i="35"/>
  <c r="DN2" i="35"/>
  <c r="DM2" i="35"/>
  <c r="DL2" i="35"/>
  <c r="DK2" i="35"/>
  <c r="DH2" i="35"/>
  <c r="DG2" i="35"/>
  <c r="DF2" i="35"/>
  <c r="DE2" i="35"/>
  <c r="DD2" i="35"/>
  <c r="DC2" i="35"/>
  <c r="DB2" i="35"/>
  <c r="DA2" i="35"/>
  <c r="CZ2" i="35"/>
  <c r="CY2" i="35"/>
  <c r="CX2" i="35"/>
  <c r="CW2" i="35"/>
  <c r="CT2" i="35"/>
  <c r="CS2" i="35"/>
  <c r="CR2" i="35"/>
  <c r="CQ2" i="35"/>
  <c r="CP2" i="35"/>
  <c r="CO2" i="35"/>
  <c r="CN2" i="35"/>
  <c r="CM2" i="35"/>
  <c r="CL2" i="35"/>
  <c r="CK2" i="35"/>
  <c r="CJ2" i="35"/>
  <c r="CI2" i="35"/>
  <c r="CF2" i="35"/>
  <c r="CE2" i="35"/>
  <c r="CD2" i="35"/>
  <c r="CC2" i="35"/>
  <c r="CB2" i="35"/>
  <c r="CA2" i="35"/>
  <c r="BZ2" i="35"/>
  <c r="BY2" i="35"/>
  <c r="BX2" i="35"/>
  <c r="BW2" i="35"/>
  <c r="BV2" i="35"/>
  <c r="BU2" i="35"/>
  <c r="BR2" i="35"/>
  <c r="BQ2" i="35"/>
  <c r="BP2" i="35"/>
  <c r="BO2" i="35"/>
  <c r="BN2" i="35"/>
  <c r="BM2" i="35"/>
  <c r="BL2" i="35"/>
  <c r="BK2" i="35"/>
  <c r="BJ2" i="35"/>
  <c r="BI2" i="35"/>
  <c r="BH2" i="35"/>
  <c r="BG2" i="35"/>
  <c r="BD2" i="35"/>
  <c r="BC2" i="35"/>
  <c r="BB2" i="35"/>
  <c r="BA2" i="35"/>
  <c r="AZ2" i="35"/>
  <c r="AY2" i="35"/>
  <c r="AX2" i="35"/>
  <c r="AW2" i="35"/>
  <c r="AV2" i="35"/>
  <c r="AU2" i="35"/>
  <c r="AT2" i="35"/>
  <c r="AS2" i="35"/>
  <c r="AP2" i="35"/>
  <c r="AO2" i="35"/>
  <c r="AN2" i="35"/>
  <c r="AM2" i="35"/>
  <c r="AL2" i="35"/>
  <c r="AK2" i="35"/>
  <c r="AJ2" i="35"/>
  <c r="AI2" i="35"/>
  <c r="AH2" i="35"/>
  <c r="AG2" i="35"/>
  <c r="AF2" i="35"/>
  <c r="AE2" i="35"/>
  <c r="AB2" i="35"/>
  <c r="AA2" i="35"/>
  <c r="Z2" i="35"/>
  <c r="Y2" i="35"/>
  <c r="X2" i="35"/>
  <c r="W2" i="35"/>
  <c r="V2" i="35"/>
  <c r="U2" i="35"/>
  <c r="T2" i="35"/>
  <c r="S2" i="35"/>
  <c r="R2" i="35"/>
  <c r="Q2" i="35"/>
  <c r="N2" i="35"/>
  <c r="M2" i="35"/>
  <c r="L2" i="35"/>
  <c r="K2" i="35"/>
  <c r="J2" i="35"/>
  <c r="I2" i="35"/>
  <c r="H2" i="35"/>
  <c r="G2" i="35"/>
  <c r="F2" i="35"/>
  <c r="E2" i="35"/>
  <c r="D2" i="35"/>
  <c r="C2" i="35"/>
  <c r="B2" i="35"/>
  <c r="A2" i="35"/>
  <c r="B152" i="30"/>
  <c r="B158" i="30"/>
  <c r="B209" i="30"/>
  <c r="B204" i="30"/>
  <c r="B199" i="30"/>
  <c r="B194" i="30"/>
  <c r="B189" i="30"/>
  <c r="B184" i="30"/>
  <c r="B179" i="30"/>
  <c r="B174" i="30"/>
  <c r="B169" i="30"/>
  <c r="B164" i="30"/>
  <c r="B207" i="30"/>
  <c r="B202" i="30"/>
  <c r="B197" i="30"/>
  <c r="B192" i="30"/>
  <c r="B187" i="30"/>
  <c r="B182" i="30"/>
  <c r="B177" i="30"/>
  <c r="B172" i="30"/>
  <c r="B167" i="30"/>
  <c r="B162" i="30"/>
  <c r="B206" i="30"/>
  <c r="B201" i="30"/>
  <c r="B196" i="30"/>
  <c r="B191" i="30"/>
  <c r="B186" i="30"/>
  <c r="B181" i="30"/>
  <c r="B176" i="30"/>
  <c r="B171" i="30"/>
  <c r="B166" i="30"/>
  <c r="B161" i="30"/>
  <c r="HQ2" i="34"/>
  <c r="HP2" i="34"/>
  <c r="HO2" i="34"/>
  <c r="HN2" i="34"/>
  <c r="HM2" i="34"/>
  <c r="HL2" i="34"/>
  <c r="HK2" i="34"/>
  <c r="HJ2" i="34"/>
  <c r="HI2" i="34"/>
  <c r="HH2" i="34"/>
  <c r="HG2" i="34"/>
  <c r="HF2" i="34"/>
  <c r="HE2" i="34"/>
  <c r="HD2" i="34"/>
  <c r="HC2" i="34"/>
  <c r="HB2" i="34"/>
  <c r="HA2" i="34"/>
  <c r="GZ2" i="34"/>
  <c r="GY2" i="34"/>
  <c r="GX2" i="34"/>
  <c r="GW2" i="34"/>
  <c r="GV2" i="34"/>
  <c r="GU2" i="34"/>
  <c r="GT2" i="34"/>
  <c r="GS2" i="34"/>
  <c r="GP2" i="34"/>
  <c r="GN2" i="34"/>
  <c r="GM2" i="34"/>
  <c r="GL2" i="34"/>
  <c r="GK2" i="34"/>
  <c r="GJ2" i="34"/>
  <c r="GI2" i="34"/>
  <c r="GH2" i="34"/>
  <c r="GG2" i="34"/>
  <c r="GF2" i="34"/>
  <c r="GD2" i="34"/>
  <c r="GC2" i="34"/>
  <c r="GB2" i="34"/>
  <c r="GA2" i="34"/>
  <c r="FZ2" i="34"/>
  <c r="FY2" i="34"/>
  <c r="FX2" i="34"/>
  <c r="FW2" i="34"/>
  <c r="FV2" i="34"/>
  <c r="FT2" i="34"/>
  <c r="FS2" i="34"/>
  <c r="FR2" i="34"/>
  <c r="FQ2" i="34"/>
  <c r="FP2" i="34"/>
  <c r="FO2" i="34"/>
  <c r="FN2" i="34"/>
  <c r="FM2" i="34"/>
  <c r="FL2" i="34"/>
  <c r="FK2" i="34"/>
  <c r="FJ2" i="34"/>
  <c r="FI2" i="34"/>
  <c r="FH2" i="34"/>
  <c r="FG2" i="34"/>
  <c r="FF2" i="34"/>
  <c r="FE2" i="34"/>
  <c r="FD2" i="34"/>
  <c r="FA2" i="34"/>
  <c r="EY2" i="34"/>
  <c r="EX2" i="34"/>
  <c r="EW2" i="34"/>
  <c r="EV2" i="34"/>
  <c r="EU2" i="34"/>
  <c r="ET2" i="34"/>
  <c r="ES2" i="34"/>
  <c r="ER2" i="34"/>
  <c r="EQ2" i="34"/>
  <c r="EO2" i="34"/>
  <c r="EN2" i="34"/>
  <c r="EM2" i="34"/>
  <c r="EL2" i="34"/>
  <c r="EK2" i="34"/>
  <c r="EJ2" i="34"/>
  <c r="EI2" i="34"/>
  <c r="EH2" i="34"/>
  <c r="EG2" i="34"/>
  <c r="EE2" i="34"/>
  <c r="ED2" i="34"/>
  <c r="EC2" i="34"/>
  <c r="EB2" i="34"/>
  <c r="EA2" i="34"/>
  <c r="DZ2" i="34"/>
  <c r="DY2" i="34"/>
  <c r="DX2" i="34"/>
  <c r="DW2" i="34"/>
  <c r="DV2" i="34"/>
  <c r="DU2" i="34"/>
  <c r="DT2" i="34"/>
  <c r="DS2" i="34"/>
  <c r="DR2" i="34"/>
  <c r="DQ2" i="34"/>
  <c r="DP2" i="34"/>
  <c r="DO2" i="34"/>
  <c r="DL2" i="34"/>
  <c r="DJ2" i="34"/>
  <c r="DI2" i="34"/>
  <c r="DH2" i="34"/>
  <c r="DG2" i="34"/>
  <c r="DF2" i="34"/>
  <c r="DE2" i="34"/>
  <c r="DD2" i="34"/>
  <c r="DC2" i="34"/>
  <c r="DB2" i="34"/>
  <c r="CZ2" i="34"/>
  <c r="CY2" i="34"/>
  <c r="CX2" i="34"/>
  <c r="CW2" i="34"/>
  <c r="CV2" i="34"/>
  <c r="CU2" i="34"/>
  <c r="CT2" i="34"/>
  <c r="CS2" i="34"/>
  <c r="CR2" i="34"/>
  <c r="CP2" i="34"/>
  <c r="CO2" i="34"/>
  <c r="CN2" i="34"/>
  <c r="CM2" i="34"/>
  <c r="CL2" i="34"/>
  <c r="CK2" i="34"/>
  <c r="CJ2" i="34"/>
  <c r="CI2" i="34"/>
  <c r="CH2" i="34"/>
  <c r="CG2" i="34"/>
  <c r="CF2" i="34"/>
  <c r="CE2" i="34"/>
  <c r="CD2" i="34"/>
  <c r="CC2" i="34"/>
  <c r="CB2" i="34"/>
  <c r="CA2" i="34"/>
  <c r="BZ2" i="34"/>
  <c r="BW2" i="34"/>
  <c r="BU2" i="34"/>
  <c r="BT2" i="34"/>
  <c r="BS2" i="34"/>
  <c r="BR2" i="34"/>
  <c r="BQ2" i="34"/>
  <c r="BP2" i="34"/>
  <c r="BO2" i="34"/>
  <c r="BN2" i="34"/>
  <c r="BM2" i="34"/>
  <c r="BK2" i="34"/>
  <c r="BJ2" i="34"/>
  <c r="BI2" i="34"/>
  <c r="BH2" i="34"/>
  <c r="BG2" i="34"/>
  <c r="BF2" i="34"/>
  <c r="BE2" i="34"/>
  <c r="BD2" i="34"/>
  <c r="BC2" i="34"/>
  <c r="BA2" i="34"/>
  <c r="AZ2" i="34"/>
  <c r="AY2" i="34"/>
  <c r="AX2" i="34"/>
  <c r="AW2" i="34"/>
  <c r="AV2" i="34"/>
  <c r="AU2" i="34"/>
  <c r="AT2" i="34"/>
  <c r="AS2" i="34"/>
  <c r="AR2" i="34"/>
  <c r="AQ2" i="34"/>
  <c r="AP2" i="34"/>
  <c r="AO2" i="34"/>
  <c r="AN2" i="34"/>
  <c r="AM2" i="34"/>
  <c r="AL2" i="34"/>
  <c r="AK2" i="34"/>
  <c r="AH2" i="34"/>
  <c r="AF2" i="34"/>
  <c r="AE2" i="34"/>
  <c r="AD2" i="34"/>
  <c r="AC2" i="34"/>
  <c r="AB2" i="34"/>
  <c r="AA2" i="34"/>
  <c r="Z2" i="34"/>
  <c r="Y2" i="34"/>
  <c r="X2" i="34"/>
  <c r="V2" i="34"/>
  <c r="U2" i="34"/>
  <c r="T2" i="34"/>
  <c r="S2" i="34"/>
  <c r="R2" i="34"/>
  <c r="Q2" i="34"/>
  <c r="P2" i="34"/>
  <c r="O2" i="34"/>
  <c r="N2" i="34"/>
  <c r="L2" i="34"/>
  <c r="K2" i="34"/>
  <c r="J2" i="34"/>
  <c r="I2" i="34"/>
  <c r="H2" i="34"/>
  <c r="G2" i="34"/>
  <c r="F2" i="34"/>
  <c r="E2" i="34"/>
  <c r="D2" i="34"/>
  <c r="C2" i="34"/>
  <c r="B2" i="34"/>
  <c r="A2" i="34"/>
  <c r="HQ2" i="33"/>
  <c r="HP2" i="33"/>
  <c r="HO2" i="33"/>
  <c r="HN2" i="33"/>
  <c r="HM2" i="33"/>
  <c r="HL2" i="33"/>
  <c r="HI2" i="33"/>
  <c r="HG2" i="33"/>
  <c r="HF2" i="33"/>
  <c r="HE2" i="33"/>
  <c r="HD2" i="33"/>
  <c r="HC2" i="33"/>
  <c r="HB2" i="33"/>
  <c r="HA2" i="33"/>
  <c r="GZ2" i="33"/>
  <c r="GY2" i="33"/>
  <c r="GW2" i="33"/>
  <c r="GV2" i="33"/>
  <c r="GU2" i="33"/>
  <c r="GT2" i="33"/>
  <c r="GS2" i="33"/>
  <c r="GR2" i="33"/>
  <c r="GQ2" i="33"/>
  <c r="GP2" i="33"/>
  <c r="GO2" i="33"/>
  <c r="GM2" i="33"/>
  <c r="GL2" i="33"/>
  <c r="GK2" i="33"/>
  <c r="GJ2" i="33"/>
  <c r="GI2" i="33"/>
  <c r="GH2" i="33"/>
  <c r="GG2" i="33"/>
  <c r="GF2" i="33"/>
  <c r="GE2" i="33"/>
  <c r="GD2" i="33"/>
  <c r="GC2" i="33"/>
  <c r="GB2" i="33"/>
  <c r="GA2" i="33"/>
  <c r="FZ2" i="33"/>
  <c r="FY2" i="33"/>
  <c r="FX2" i="33"/>
  <c r="FW2" i="33"/>
  <c r="FT2" i="33"/>
  <c r="FR2" i="33"/>
  <c r="FQ2" i="33"/>
  <c r="FP2" i="33"/>
  <c r="FO2" i="33"/>
  <c r="FN2" i="33"/>
  <c r="FM2" i="33"/>
  <c r="FL2" i="33"/>
  <c r="FK2" i="33"/>
  <c r="FJ2" i="33"/>
  <c r="FH2" i="33"/>
  <c r="FG2" i="33"/>
  <c r="FF2" i="33"/>
  <c r="FE2" i="33"/>
  <c r="FD2" i="33"/>
  <c r="FC2" i="33"/>
  <c r="FB2" i="33"/>
  <c r="FA2" i="33"/>
  <c r="EZ2" i="33"/>
  <c r="EX2" i="33"/>
  <c r="EW2" i="33"/>
  <c r="EV2" i="33"/>
  <c r="EU2" i="33"/>
  <c r="ET2" i="33"/>
  <c r="ES2" i="33"/>
  <c r="ER2" i="33"/>
  <c r="EQ2" i="33"/>
  <c r="EP2" i="33"/>
  <c r="EO2" i="33"/>
  <c r="EN2" i="33"/>
  <c r="EM2" i="33"/>
  <c r="EL2" i="33"/>
  <c r="EK2" i="33"/>
  <c r="EJ2" i="33"/>
  <c r="EI2" i="33"/>
  <c r="EH2" i="33"/>
  <c r="EE2" i="33"/>
  <c r="EC2" i="33"/>
  <c r="EB2" i="33"/>
  <c r="EA2" i="33"/>
  <c r="DZ2" i="33"/>
  <c r="DY2" i="33"/>
  <c r="DX2" i="33"/>
  <c r="DW2" i="33"/>
  <c r="DV2" i="33"/>
  <c r="DU2" i="33"/>
  <c r="DS2" i="33"/>
  <c r="DR2" i="33"/>
  <c r="DQ2" i="33"/>
  <c r="DP2" i="33"/>
  <c r="DO2" i="33"/>
  <c r="DN2" i="33"/>
  <c r="DM2" i="33"/>
  <c r="DL2" i="33"/>
  <c r="DK2" i="33"/>
  <c r="DI2" i="33"/>
  <c r="DH2" i="33"/>
  <c r="DG2" i="33"/>
  <c r="DF2" i="33"/>
  <c r="DE2" i="33"/>
  <c r="DD2" i="33"/>
  <c r="DC2" i="33"/>
  <c r="DB2" i="33"/>
  <c r="DA2" i="33"/>
  <c r="CZ2" i="33"/>
  <c r="CY2" i="33"/>
  <c r="CX2" i="33"/>
  <c r="CW2" i="33"/>
  <c r="CV2" i="33"/>
  <c r="CU2" i="33"/>
  <c r="CT2" i="33"/>
  <c r="CS2" i="33"/>
  <c r="CP2" i="33"/>
  <c r="CN2" i="33"/>
  <c r="CM2" i="33"/>
  <c r="CL2" i="33"/>
  <c r="CK2" i="33"/>
  <c r="CJ2" i="33"/>
  <c r="CI2" i="33"/>
  <c r="CH2" i="33"/>
  <c r="CG2" i="33"/>
  <c r="CF2" i="33"/>
  <c r="CD2" i="33"/>
  <c r="CC2" i="33"/>
  <c r="CB2" i="33"/>
  <c r="CA2" i="33"/>
  <c r="BZ2" i="33"/>
  <c r="BY2" i="33"/>
  <c r="BX2" i="33"/>
  <c r="BW2" i="33"/>
  <c r="BV2" i="33"/>
  <c r="BT2" i="33"/>
  <c r="BS2" i="33"/>
  <c r="BR2" i="33"/>
  <c r="BQ2" i="33"/>
  <c r="BP2" i="33"/>
  <c r="BO2" i="33"/>
  <c r="BN2" i="33"/>
  <c r="BM2" i="33"/>
  <c r="BL2" i="33"/>
  <c r="BK2" i="33"/>
  <c r="BJ2" i="33"/>
  <c r="BI2" i="33"/>
  <c r="BH2" i="33"/>
  <c r="BG2" i="33"/>
  <c r="BF2" i="33"/>
  <c r="BE2" i="33"/>
  <c r="BD2" i="33"/>
  <c r="BA2" i="33"/>
  <c r="AY2" i="33"/>
  <c r="AX2" i="33"/>
  <c r="AW2" i="33"/>
  <c r="AV2" i="33"/>
  <c r="AU2" i="33"/>
  <c r="AT2" i="33"/>
  <c r="AS2" i="33"/>
  <c r="AR2" i="33"/>
  <c r="AQ2" i="33"/>
  <c r="AO2" i="33"/>
  <c r="AN2" i="33"/>
  <c r="AM2" i="33"/>
  <c r="AL2" i="33"/>
  <c r="AK2" i="33"/>
  <c r="AJ2" i="33"/>
  <c r="AI2" i="33"/>
  <c r="AH2" i="33"/>
  <c r="AG2" i="33"/>
  <c r="AE2" i="33"/>
  <c r="AD2" i="33"/>
  <c r="AC2" i="33"/>
  <c r="AB2" i="33"/>
  <c r="AA2" i="33"/>
  <c r="Z2" i="33"/>
  <c r="Y2" i="33"/>
  <c r="X2" i="33"/>
  <c r="W2" i="33"/>
  <c r="V2" i="33"/>
  <c r="U2" i="33"/>
  <c r="T2" i="33"/>
  <c r="P2" i="33"/>
  <c r="O2" i="33"/>
  <c r="N2" i="33"/>
  <c r="M2" i="33"/>
  <c r="L2" i="33"/>
  <c r="K2" i="33"/>
  <c r="J2" i="33"/>
  <c r="I2" i="33"/>
  <c r="H2" i="33"/>
  <c r="G2" i="33"/>
  <c r="F2" i="33"/>
  <c r="E2" i="33"/>
  <c r="D2" i="33"/>
  <c r="C2" i="33"/>
  <c r="B2" i="33"/>
  <c r="A2" i="33"/>
  <c r="B153" i="30"/>
  <c r="B160" i="30"/>
  <c r="B139" i="30"/>
  <c r="B138" i="30"/>
  <c r="B125" i="30"/>
  <c r="B124" i="30"/>
  <c r="B111" i="30"/>
  <c r="B110" i="30"/>
  <c r="B97" i="30"/>
  <c r="B96" i="30"/>
  <c r="B83" i="30"/>
  <c r="B82" i="30"/>
  <c r="B69" i="30"/>
  <c r="B68" i="30"/>
  <c r="B55" i="30"/>
  <c r="B54" i="30"/>
  <c r="B41" i="30"/>
  <c r="B40" i="30"/>
  <c r="B27" i="30"/>
  <c r="B26" i="30"/>
  <c r="B13" i="30"/>
  <c r="B12" i="30"/>
  <c r="E142" i="7"/>
  <c r="AF2" i="33" s="1"/>
  <c r="B55" i="8"/>
  <c r="B15" i="30"/>
  <c r="BU2" i="33"/>
  <c r="DJ2" i="33"/>
  <c r="B155" i="8"/>
  <c r="B196" i="8"/>
  <c r="CQ2" i="34"/>
  <c r="FU2" i="34"/>
  <c r="B157" i="30"/>
  <c r="B156" i="30"/>
  <c r="B154" i="30"/>
  <c r="B155" i="30"/>
  <c r="B145" i="30"/>
  <c r="B131" i="30"/>
  <c r="B117" i="30"/>
  <c r="B103" i="30"/>
  <c r="B89" i="30"/>
  <c r="B75" i="30"/>
  <c r="B61" i="30"/>
  <c r="B47" i="30"/>
  <c r="B33" i="30"/>
  <c r="B19" i="30"/>
  <c r="B38" i="30"/>
  <c r="B103" i="8"/>
  <c r="B20" i="8"/>
  <c r="B149" i="30"/>
  <c r="B148" i="30"/>
  <c r="B147" i="30"/>
  <c r="B135" i="30"/>
  <c r="B134" i="30"/>
  <c r="B133" i="30"/>
  <c r="B121" i="30"/>
  <c r="B120" i="30"/>
  <c r="B119" i="30"/>
  <c r="B107" i="30"/>
  <c r="B106" i="30"/>
  <c r="B105" i="30"/>
  <c r="B93" i="30"/>
  <c r="B92" i="30"/>
  <c r="B91" i="30"/>
  <c r="B79" i="30"/>
  <c r="B78" i="30"/>
  <c r="B77" i="30"/>
  <c r="B65" i="30"/>
  <c r="B64" i="30"/>
  <c r="B63" i="30"/>
  <c r="B51" i="30"/>
  <c r="B50" i="30"/>
  <c r="B49" i="30"/>
  <c r="B37" i="30"/>
  <c r="B36" i="30"/>
  <c r="B35" i="30"/>
  <c r="B23" i="30"/>
  <c r="B22" i="30"/>
  <c r="B21" i="30"/>
  <c r="B146" i="30"/>
  <c r="B144" i="30"/>
  <c r="B143" i="30"/>
  <c r="B140" i="30"/>
  <c r="B137" i="30"/>
  <c r="B136" i="30"/>
  <c r="B132" i="30"/>
  <c r="B130" i="30"/>
  <c r="B129" i="30"/>
  <c r="B126" i="30"/>
  <c r="B123" i="30"/>
  <c r="B122" i="30"/>
  <c r="B118" i="30"/>
  <c r="B116" i="30"/>
  <c r="B115" i="30"/>
  <c r="B112" i="30"/>
  <c r="B109" i="30"/>
  <c r="B108" i="30"/>
  <c r="B104" i="30"/>
  <c r="B102" i="30"/>
  <c r="B101" i="30"/>
  <c r="B98" i="30"/>
  <c r="B95" i="30"/>
  <c r="B94" i="30"/>
  <c r="B90" i="30"/>
  <c r="B88" i="30"/>
  <c r="B87" i="30"/>
  <c r="B84" i="30"/>
  <c r="B81" i="30"/>
  <c r="B80" i="30"/>
  <c r="B76" i="30"/>
  <c r="B74" i="30"/>
  <c r="B73" i="30"/>
  <c r="B70" i="30"/>
  <c r="B67" i="30"/>
  <c r="B66" i="30"/>
  <c r="B62" i="30"/>
  <c r="B60" i="30"/>
  <c r="B59" i="30"/>
  <c r="B56" i="30"/>
  <c r="B53" i="30"/>
  <c r="B52" i="30"/>
  <c r="B48" i="30"/>
  <c r="B46" i="30"/>
  <c r="B45" i="30"/>
  <c r="B42" i="30"/>
  <c r="B39" i="30"/>
  <c r="B34" i="30"/>
  <c r="B32" i="30"/>
  <c r="B31" i="30"/>
  <c r="B28" i="30"/>
  <c r="B25" i="30"/>
  <c r="B24" i="30"/>
  <c r="B20" i="30"/>
  <c r="B18" i="30"/>
  <c r="B17" i="30"/>
  <c r="G142" i="7"/>
  <c r="B42" i="8" s="1"/>
  <c r="I142" i="7"/>
  <c r="AZ2" i="33" s="1"/>
  <c r="B14" i="30"/>
  <c r="B11" i="30"/>
  <c r="B10" i="30"/>
  <c r="B9" i="30"/>
  <c r="B8" i="30"/>
  <c r="B7" i="30"/>
  <c r="B6" i="30"/>
  <c r="B5" i="30"/>
  <c r="B4" i="30"/>
  <c r="B3" i="30"/>
  <c r="B2" i="30"/>
  <c r="B225" i="31"/>
  <c r="B224" i="31"/>
  <c r="B223" i="31"/>
  <c r="B222" i="31"/>
  <c r="B221" i="31"/>
  <c r="B220" i="31"/>
  <c r="B219" i="31"/>
  <c r="B218" i="31"/>
  <c r="B217" i="31"/>
  <c r="B216" i="31"/>
  <c r="B215" i="31"/>
  <c r="B214" i="31"/>
  <c r="B213" i="31"/>
  <c r="B212" i="31"/>
  <c r="B211" i="31"/>
  <c r="B210" i="31"/>
  <c r="B209" i="31"/>
  <c r="B208" i="31"/>
  <c r="B207" i="31"/>
  <c r="B206" i="31"/>
  <c r="B205" i="31"/>
  <c r="B204" i="31"/>
  <c r="B203" i="31"/>
  <c r="B202" i="31"/>
  <c r="B201" i="31"/>
  <c r="B198" i="31"/>
  <c r="B196" i="31"/>
  <c r="B195" i="31"/>
  <c r="B194" i="31"/>
  <c r="B193" i="31"/>
  <c r="B192" i="31"/>
  <c r="B191" i="31"/>
  <c r="B190" i="31"/>
  <c r="B189" i="31"/>
  <c r="B188" i="31"/>
  <c r="B186" i="31"/>
  <c r="B185" i="31"/>
  <c r="B184" i="31"/>
  <c r="B183" i="31"/>
  <c r="B182" i="31"/>
  <c r="B181" i="31"/>
  <c r="B180" i="31"/>
  <c r="B179" i="31"/>
  <c r="B178" i="31"/>
  <c r="B176" i="31"/>
  <c r="B175" i="31"/>
  <c r="B174" i="31"/>
  <c r="B173" i="31"/>
  <c r="B172" i="31"/>
  <c r="B171" i="31"/>
  <c r="B170" i="31"/>
  <c r="B169" i="31"/>
  <c r="B168" i="31"/>
  <c r="B167" i="31"/>
  <c r="B166" i="31"/>
  <c r="B165" i="31"/>
  <c r="B164" i="31"/>
  <c r="B163" i="31"/>
  <c r="B162" i="31"/>
  <c r="B161" i="31"/>
  <c r="B160" i="31"/>
  <c r="B157" i="31"/>
  <c r="B155" i="31"/>
  <c r="B154" i="31"/>
  <c r="B153" i="31"/>
  <c r="B152" i="31"/>
  <c r="B151" i="31"/>
  <c r="B150" i="31"/>
  <c r="B149" i="31"/>
  <c r="B148" i="31"/>
  <c r="B147" i="31"/>
  <c r="B145" i="31"/>
  <c r="B144" i="31"/>
  <c r="B143" i="31"/>
  <c r="B142" i="31"/>
  <c r="B141" i="31"/>
  <c r="B140" i="31"/>
  <c r="B139" i="31"/>
  <c r="B138" i="31"/>
  <c r="B137" i="31"/>
  <c r="B135" i="31"/>
  <c r="B134" i="31"/>
  <c r="B133" i="31"/>
  <c r="B132" i="31"/>
  <c r="B131" i="31"/>
  <c r="B130" i="31"/>
  <c r="B129" i="31"/>
  <c r="B128" i="31"/>
  <c r="B127" i="31"/>
  <c r="B126" i="31"/>
  <c r="B125" i="31"/>
  <c r="B124" i="31"/>
  <c r="B123" i="31"/>
  <c r="B122" i="31"/>
  <c r="B121" i="31"/>
  <c r="B120" i="31"/>
  <c r="B119" i="31"/>
  <c r="B116" i="31"/>
  <c r="B114" i="31"/>
  <c r="B113" i="31"/>
  <c r="B112" i="31"/>
  <c r="B111" i="31"/>
  <c r="B110" i="31"/>
  <c r="B109" i="31"/>
  <c r="B108" i="31"/>
  <c r="B107" i="31"/>
  <c r="B106" i="31"/>
  <c r="B104" i="31"/>
  <c r="B103" i="31"/>
  <c r="B102" i="31"/>
  <c r="B101" i="31"/>
  <c r="B100" i="31"/>
  <c r="B99" i="31"/>
  <c r="B98" i="31"/>
  <c r="B97" i="31"/>
  <c r="B96" i="31"/>
  <c r="B94" i="31"/>
  <c r="B93" i="31"/>
  <c r="B92" i="31"/>
  <c r="B91" i="31"/>
  <c r="B90" i="31"/>
  <c r="B89" i="31"/>
  <c r="B88" i="31"/>
  <c r="B87" i="31"/>
  <c r="B86" i="31"/>
  <c r="B85" i="31"/>
  <c r="B84" i="31"/>
  <c r="B83" i="31"/>
  <c r="B82" i="31"/>
  <c r="B81" i="31"/>
  <c r="B80" i="31"/>
  <c r="B79" i="31"/>
  <c r="B78" i="31"/>
  <c r="B75" i="31"/>
  <c r="B73" i="31"/>
  <c r="B72" i="31"/>
  <c r="B71" i="31"/>
  <c r="B70" i="31"/>
  <c r="B69" i="31"/>
  <c r="B68" i="31"/>
  <c r="B67" i="31"/>
  <c r="B66" i="31"/>
  <c r="B65" i="31"/>
  <c r="B63" i="31"/>
  <c r="B62" i="31"/>
  <c r="B61" i="31"/>
  <c r="B60" i="31"/>
  <c r="B59" i="31"/>
  <c r="B58" i="31"/>
  <c r="B57" i="31"/>
  <c r="B56" i="31"/>
  <c r="B55" i="31"/>
  <c r="B53" i="31"/>
  <c r="B52" i="31"/>
  <c r="B51" i="31"/>
  <c r="B50" i="31"/>
  <c r="B49" i="31"/>
  <c r="B48" i="31"/>
  <c r="B47" i="31"/>
  <c r="B46" i="31"/>
  <c r="B45" i="31"/>
  <c r="B44" i="31"/>
  <c r="B43" i="31"/>
  <c r="B42" i="31"/>
  <c r="B41" i="31"/>
  <c r="B40" i="31"/>
  <c r="B39" i="31"/>
  <c r="B38" i="31"/>
  <c r="B37" i="31"/>
  <c r="B34" i="31"/>
  <c r="B32" i="31"/>
  <c r="B31" i="31"/>
  <c r="B30" i="31"/>
  <c r="B29" i="31"/>
  <c r="B28" i="31"/>
  <c r="B27" i="31"/>
  <c r="B26" i="31"/>
  <c r="B25" i="31"/>
  <c r="B24" i="31"/>
  <c r="B22" i="31"/>
  <c r="B21" i="31"/>
  <c r="B20" i="31"/>
  <c r="B19" i="31"/>
  <c r="B18" i="31"/>
  <c r="B17" i="31"/>
  <c r="B16" i="31"/>
  <c r="B15" i="31"/>
  <c r="B14" i="31"/>
  <c r="B12" i="31"/>
  <c r="B11" i="31"/>
  <c r="B10" i="31"/>
  <c r="B9" i="31"/>
  <c r="B8" i="31"/>
  <c r="B7" i="31"/>
  <c r="B6" i="31"/>
  <c r="B5" i="31"/>
  <c r="B4" i="31"/>
  <c r="B3" i="31"/>
  <c r="B2" i="31"/>
  <c r="B1" i="30"/>
  <c r="B1" i="31"/>
  <c r="E56" i="29"/>
  <c r="CO2" i="33"/>
  <c r="FS2" i="35"/>
  <c r="B180" i="30"/>
  <c r="GC2" i="35"/>
  <c r="B33" i="31"/>
  <c r="B195" i="30"/>
  <c r="GR2" i="35"/>
  <c r="B205" i="30"/>
  <c r="B210" i="30"/>
  <c r="B83" i="8"/>
  <c r="B173" i="30"/>
  <c r="FV2" i="35"/>
  <c r="GA2" i="35"/>
  <c r="GF2" i="35"/>
  <c r="B64" i="31"/>
  <c r="B105" i="31"/>
  <c r="B203" i="30"/>
  <c r="GE2" i="34"/>
  <c r="B225" i="8"/>
  <c r="B224" i="8"/>
  <c r="B184" i="8"/>
  <c r="B183" i="8"/>
  <c r="B143" i="8"/>
  <c r="B142" i="8"/>
  <c r="B102" i="8"/>
  <c r="B101" i="8"/>
  <c r="B61" i="8"/>
  <c r="B60" i="8"/>
  <c r="B186" i="8"/>
  <c r="B185" i="8"/>
  <c r="B145" i="8"/>
  <c r="B144" i="8"/>
  <c r="B104" i="8"/>
  <c r="B10" i="8"/>
  <c r="B11" i="8"/>
  <c r="B63" i="8"/>
  <c r="B62" i="8"/>
  <c r="E56" i="27"/>
  <c r="E53" i="28"/>
  <c r="B9" i="8"/>
  <c r="B12" i="8"/>
  <c r="B7" i="8"/>
  <c r="B6" i="8"/>
  <c r="B5" i="8"/>
  <c r="B24" i="8"/>
  <c r="B22" i="8"/>
  <c r="B23" i="8"/>
  <c r="B1" i="8"/>
  <c r="B21" i="8"/>
  <c r="B8" i="8"/>
  <c r="B3" i="8"/>
  <c r="B16" i="8"/>
  <c r="B15" i="8"/>
  <c r="B14" i="8"/>
  <c r="B13" i="8"/>
  <c r="B2" i="8"/>
  <c r="B4" i="8"/>
  <c r="B223" i="8"/>
  <c r="B222" i="8"/>
  <c r="B221" i="8"/>
  <c r="B220" i="8"/>
  <c r="B217" i="8"/>
  <c r="B215" i="8"/>
  <c r="B214" i="8"/>
  <c r="B213" i="8"/>
  <c r="B212" i="8"/>
  <c r="B211" i="8"/>
  <c r="B210" i="8"/>
  <c r="B209" i="8"/>
  <c r="B208" i="8"/>
  <c r="B207" i="8"/>
  <c r="B205" i="8"/>
  <c r="B204" i="8"/>
  <c r="B203" i="8"/>
  <c r="B202" i="8"/>
  <c r="B201" i="8"/>
  <c r="B200" i="8"/>
  <c r="B199" i="8"/>
  <c r="B198" i="8"/>
  <c r="B197" i="8"/>
  <c r="B195" i="8"/>
  <c r="B194" i="8"/>
  <c r="B193" i="8"/>
  <c r="B192" i="8"/>
  <c r="B191" i="8"/>
  <c r="B190" i="8"/>
  <c r="B189" i="8"/>
  <c r="B188" i="8"/>
  <c r="B187" i="8"/>
  <c r="B182" i="8"/>
  <c r="B181" i="8"/>
  <c r="B180" i="8"/>
  <c r="B179" i="8"/>
  <c r="B176" i="8"/>
  <c r="B174" i="8"/>
  <c r="B173" i="8"/>
  <c r="B172" i="8"/>
  <c r="B171" i="8"/>
  <c r="B170" i="8"/>
  <c r="B169" i="8"/>
  <c r="B168" i="8"/>
  <c r="B167" i="8"/>
  <c r="B166" i="8"/>
  <c r="B164" i="8"/>
  <c r="B163" i="8"/>
  <c r="B162" i="8"/>
  <c r="B161" i="8"/>
  <c r="B160" i="8"/>
  <c r="B159" i="8"/>
  <c r="B158" i="8"/>
  <c r="B157" i="8"/>
  <c r="B156" i="8"/>
  <c r="B154" i="8"/>
  <c r="B153" i="8"/>
  <c r="B152" i="8"/>
  <c r="B151" i="8"/>
  <c r="B150" i="8"/>
  <c r="B149" i="8"/>
  <c r="B148" i="8"/>
  <c r="B147" i="8"/>
  <c r="B146" i="8"/>
  <c r="B141" i="8"/>
  <c r="B140" i="8"/>
  <c r="B139" i="8"/>
  <c r="B138" i="8"/>
  <c r="B135" i="8"/>
  <c r="B133" i="8"/>
  <c r="B132" i="8"/>
  <c r="B131" i="8"/>
  <c r="B130" i="8"/>
  <c r="B129" i="8"/>
  <c r="B128" i="8"/>
  <c r="B127" i="8"/>
  <c r="B126" i="8"/>
  <c r="B125" i="8"/>
  <c r="B123" i="8"/>
  <c r="B122" i="8"/>
  <c r="B121" i="8"/>
  <c r="B120" i="8"/>
  <c r="B119" i="8"/>
  <c r="B118" i="8"/>
  <c r="B117" i="8"/>
  <c r="B116" i="8"/>
  <c r="B115" i="8"/>
  <c r="B113" i="8"/>
  <c r="B112" i="8"/>
  <c r="B111" i="8"/>
  <c r="B110" i="8"/>
  <c r="B109" i="8"/>
  <c r="B108" i="8"/>
  <c r="B107" i="8"/>
  <c r="B106" i="8"/>
  <c r="B105" i="8"/>
  <c r="B89" i="8"/>
  <c r="B79" i="8"/>
  <c r="B48" i="8"/>
  <c r="B38" i="8"/>
  <c r="B98" i="8"/>
  <c r="B100" i="8"/>
  <c r="B99" i="8"/>
  <c r="B97" i="8"/>
  <c r="B94" i="8"/>
  <c r="B92" i="8"/>
  <c r="B91" i="8"/>
  <c r="B90" i="8"/>
  <c r="B88" i="8"/>
  <c r="B87" i="8"/>
  <c r="B86" i="8"/>
  <c r="B85" i="8"/>
  <c r="B84" i="8"/>
  <c r="B82" i="8"/>
  <c r="B81" i="8"/>
  <c r="B80" i="8"/>
  <c r="B78" i="8"/>
  <c r="B77" i="8"/>
  <c r="B76" i="8"/>
  <c r="B75" i="8"/>
  <c r="B74" i="8"/>
  <c r="B72" i="8"/>
  <c r="B71" i="8"/>
  <c r="B70" i="8"/>
  <c r="B69" i="8"/>
  <c r="B68" i="8"/>
  <c r="B67" i="8"/>
  <c r="B66" i="8"/>
  <c r="B65" i="8"/>
  <c r="B64" i="8"/>
  <c r="B28" i="8"/>
  <c r="B53" i="8"/>
  <c r="B51" i="8"/>
  <c r="B50" i="8"/>
  <c r="B49" i="8"/>
  <c r="B47" i="8"/>
  <c r="B46" i="8"/>
  <c r="B45" i="8"/>
  <c r="B44" i="8"/>
  <c r="B43" i="8"/>
  <c r="B41" i="8"/>
  <c r="B40" i="8"/>
  <c r="B39" i="8"/>
  <c r="B37" i="8"/>
  <c r="B36" i="8"/>
  <c r="B35" i="8"/>
  <c r="B34" i="8"/>
  <c r="B33" i="8"/>
  <c r="B31" i="8"/>
  <c r="B30" i="8"/>
  <c r="B29" i="8"/>
  <c r="B27" i="8"/>
  <c r="B26" i="8"/>
  <c r="B25" i="8"/>
  <c r="B59" i="8"/>
  <c r="B58" i="8"/>
  <c r="B57" i="8"/>
  <c r="B56" i="8"/>
  <c r="FB2" i="35"/>
  <c r="B115" i="31"/>
  <c r="GM2" i="35"/>
  <c r="B13" i="31"/>
  <c r="FX2" i="35"/>
  <c r="B216" i="8"/>
  <c r="HH2" i="33"/>
  <c r="B175" i="8"/>
  <c r="B156" i="31"/>
  <c r="B185" i="30"/>
  <c r="M2" i="34"/>
  <c r="GN2" i="33"/>
  <c r="EP2" i="34"/>
  <c r="B146" i="31"/>
  <c r="FI2" i="33"/>
  <c r="FQ2" i="35"/>
  <c r="B74" i="31"/>
  <c r="B175" i="30"/>
  <c r="B170" i="30"/>
  <c r="B95" i="31"/>
  <c r="B165" i="8"/>
  <c r="B93" i="8"/>
  <c r="GO2" i="34"/>
  <c r="HB2" i="35"/>
  <c r="B117" i="31"/>
  <c r="GP2" i="35"/>
  <c r="CE2" i="33"/>
  <c r="B54" i="8"/>
  <c r="B198" i="30"/>
  <c r="BV2" i="34"/>
  <c r="B187" i="31"/>
  <c r="B197" i="31"/>
  <c r="B128" i="30"/>
  <c r="B141" i="30"/>
  <c r="BL2" i="34"/>
  <c r="B158" i="31"/>
  <c r="GK2" i="35"/>
  <c r="B193" i="30"/>
  <c r="EF2" i="34"/>
  <c r="FS2" i="33"/>
  <c r="B136" i="31"/>
  <c r="B35" i="31"/>
  <c r="B85" i="30"/>
  <c r="CG2" i="35"/>
  <c r="AI2" i="34"/>
  <c r="AG2" i="34"/>
  <c r="GH2" i="35"/>
  <c r="DK2" i="34"/>
  <c r="B208" i="30"/>
  <c r="GZ2" i="35"/>
  <c r="DT2" i="33"/>
  <c r="B200" i="30"/>
  <c r="B73" i="8"/>
  <c r="B54" i="31"/>
  <c r="B178" i="8"/>
  <c r="B30" i="30"/>
  <c r="EY2" i="33"/>
  <c r="B23" i="31"/>
  <c r="AJ2" i="34"/>
  <c r="B200" i="31"/>
  <c r="B206" i="8"/>
  <c r="BY2" i="34"/>
  <c r="B190" i="30"/>
  <c r="B218" i="8"/>
  <c r="B168" i="30"/>
  <c r="FL2" i="35"/>
  <c r="B183" i="30"/>
  <c r="B124" i="8"/>
  <c r="BB2" i="34"/>
  <c r="BX2" i="34"/>
  <c r="B99" i="30"/>
  <c r="CU2" i="35"/>
  <c r="B76" i="31"/>
  <c r="B178" i="30"/>
  <c r="O2" i="35"/>
  <c r="ED2" i="33"/>
  <c r="B177" i="31"/>
  <c r="BB2" i="33"/>
  <c r="B134" i="8"/>
  <c r="EZ2" i="34"/>
  <c r="GX2" i="33"/>
  <c r="BC2" i="33"/>
  <c r="B16" i="30"/>
  <c r="W2" i="34"/>
  <c r="GU2" i="35"/>
  <c r="GW2" i="35"/>
  <c r="B150" i="30"/>
  <c r="DA2" i="34"/>
  <c r="B188" i="30"/>
  <c r="FN2" i="35"/>
  <c r="B114" i="8"/>
  <c r="P2" i="35"/>
  <c r="B199" i="31"/>
  <c r="FC2" i="34"/>
  <c r="DX2" i="35"/>
  <c r="B159" i="31"/>
  <c r="GQ2" i="34"/>
  <c r="HJ2" i="33"/>
  <c r="EK2" i="35"/>
  <c r="B58" i="30"/>
  <c r="DI2" i="35"/>
  <c r="B100" i="30"/>
  <c r="B127" i="30"/>
  <c r="FB2" i="34"/>
  <c r="DW2" i="35"/>
  <c r="CH2" i="35"/>
  <c r="DM2" i="34"/>
  <c r="B113" i="30"/>
  <c r="BF2" i="35"/>
  <c r="FV2" i="33"/>
  <c r="B71" i="30"/>
  <c r="B95" i="8"/>
  <c r="CQ2" i="33"/>
  <c r="B29" i="30"/>
  <c r="B86" i="30"/>
  <c r="B57" i="30"/>
  <c r="FU2" i="33"/>
  <c r="BE2" i="35"/>
  <c r="B177" i="8"/>
  <c r="GR2" i="34"/>
  <c r="EL2" i="35"/>
  <c r="AC2" i="35"/>
  <c r="CV2" i="35"/>
  <c r="B77" i="31"/>
  <c r="B36" i="31"/>
  <c r="AD2" i="35"/>
  <c r="BS2" i="35"/>
  <c r="B142" i="30"/>
  <c r="CR2" i="33"/>
  <c r="B96" i="8"/>
  <c r="B219" i="8"/>
  <c r="HK2" i="33"/>
  <c r="B72" i="30"/>
  <c r="BT2" i="35"/>
  <c r="B43" i="30"/>
  <c r="B136" i="8"/>
  <c r="AQ2" i="35"/>
  <c r="EF2" i="33"/>
  <c r="DJ2" i="35"/>
  <c r="B114" i="30"/>
  <c r="DN2" i="34"/>
  <c r="B118" i="31"/>
  <c r="B137" i="8"/>
  <c r="AR2" i="35"/>
  <c r="B44" i="30"/>
  <c r="EG2" i="33"/>
  <c r="ET2" i="35"/>
  <c r="FC2" i="35"/>
  <c r="B159" i="30"/>
  <c r="Q2" i="33" l="1"/>
  <c r="AP2" i="33"/>
  <c r="B52" i="8"/>
  <c r="R2" i="33"/>
  <c r="B18" i="8"/>
  <c r="B32" i="8"/>
  <c r="B17" i="8"/>
  <c r="FG2" i="35"/>
  <c r="B163" i="30"/>
  <c r="B19" i="8"/>
  <c r="B165" i="30"/>
  <c r="S2" i="33"/>
  <c r="FI2" i="35"/>
  <c r="G26" i="43"/>
  <c r="J32" i="38" s="1"/>
</calcChain>
</file>

<file path=xl/sharedStrings.xml><?xml version="1.0" encoding="utf-8"?>
<sst xmlns="http://schemas.openxmlformats.org/spreadsheetml/2006/main" count="2588" uniqueCount="999">
  <si>
    <t>t6 YOBG Professional Services</t>
  </si>
  <si>
    <t>t6 YOBG CBOs</t>
  </si>
  <si>
    <t>t6 YOBG Fixed Assets</t>
  </si>
  <si>
    <t>t6 YOBG Admin</t>
  </si>
  <si>
    <t>t6YOBG Other Costs 1</t>
  </si>
  <si>
    <t>t6 YOBG Other Costs 2</t>
  </si>
  <si>
    <t>t6 YOBG Other Costs 3</t>
  </si>
  <si>
    <t>t6 YOBG Total Costs</t>
  </si>
  <si>
    <t>t6 JJCPA Salaries</t>
  </si>
  <si>
    <t>t6 JJCPA Services</t>
  </si>
  <si>
    <t>t6 JJCPA Professional Services</t>
  </si>
  <si>
    <t>t6 JJCPA CBOs</t>
  </si>
  <si>
    <t>t6 JJCPA Fixed Assets</t>
  </si>
  <si>
    <t>t6 JJCPA Admin</t>
  </si>
  <si>
    <t>t6 JJCPA Other Costs 1</t>
  </si>
  <si>
    <t>t6 JJCPA Other Costs 2</t>
  </si>
  <si>
    <t>t6 JJCPA Other Costs 3</t>
  </si>
  <si>
    <t>t6 JJCPA Total Costs</t>
  </si>
  <si>
    <t>t6 Other Salaries</t>
  </si>
  <si>
    <t>t6 Other Services</t>
  </si>
  <si>
    <t>t6 Other Professional Services</t>
  </si>
  <si>
    <t>t6 Other CBOs</t>
  </si>
  <si>
    <t>t6 Other Fixed Assets</t>
  </si>
  <si>
    <t>t6 Other Admin</t>
  </si>
  <si>
    <t>t6 Other Other Costs 1</t>
  </si>
  <si>
    <t>t6 Other Other Costs 2</t>
  </si>
  <si>
    <t>t6 Other Other Costs 3</t>
  </si>
  <si>
    <t>t6 Other Total Costs</t>
  </si>
  <si>
    <t>t6 Total Youth Served</t>
  </si>
  <si>
    <t>t6 YOBG Per Capita Costs</t>
  </si>
  <si>
    <t>t6 Total Per Capita Costs</t>
  </si>
  <si>
    <t>t6 Program Description</t>
  </si>
  <si>
    <t>t6 Youth Served 1</t>
  </si>
  <si>
    <t>t6 Youth Served 2</t>
  </si>
  <si>
    <t>t6 Youth Served 3</t>
  </si>
  <si>
    <t>t6 Youth Served 4</t>
  </si>
  <si>
    <t>Template 7 Program Name</t>
  </si>
  <si>
    <t xml:space="preserve">Template 7 Alternative Program Name </t>
  </si>
  <si>
    <t>t7 YOBG Salaries</t>
  </si>
  <si>
    <t>t7 YOBG Services</t>
  </si>
  <si>
    <t>t7 YOBG Professional Services</t>
  </si>
  <si>
    <t>t7 YOBG CBOs</t>
  </si>
  <si>
    <t>t7 YOBG Fixed Assets</t>
  </si>
  <si>
    <t>t7 YOBG Admin</t>
  </si>
  <si>
    <t>t7YOBG Other Costs 1</t>
  </si>
  <si>
    <t>t7 YOBG Other Costs 2</t>
  </si>
  <si>
    <t>t7 YOBG Other Costs 3</t>
  </si>
  <si>
    <t>t7 YOBG Total Costs</t>
  </si>
  <si>
    <t>t7 JJCPA Salaries</t>
  </si>
  <si>
    <t>t7 JJCPA Services</t>
  </si>
  <si>
    <t>t7 JJCPA Professional Services</t>
  </si>
  <si>
    <t>t7 JJCPA CBOs</t>
  </si>
  <si>
    <t>t7 JJCPA Fixed Assets</t>
  </si>
  <si>
    <t>t7 JJCPA Admin</t>
  </si>
  <si>
    <t>t7 JJCPA Other Costs 1</t>
  </si>
  <si>
    <t>t7 JJCPA Other Costs 2</t>
  </si>
  <si>
    <t>t7 JJCPA Other Costs 3</t>
  </si>
  <si>
    <t>t7 JJCPA Total Costs</t>
  </si>
  <si>
    <t>t7 Other Salaries</t>
  </si>
  <si>
    <t>t7 Other Services</t>
  </si>
  <si>
    <t>t7 Other Professional Services</t>
  </si>
  <si>
    <t>t7 Other CBOs</t>
  </si>
  <si>
    <t>t7 Other Fixed Assets</t>
  </si>
  <si>
    <t>t7 Other Admin</t>
  </si>
  <si>
    <t>t7 Other Other Costs 1</t>
  </si>
  <si>
    <t>t7 Other Other Costs 2</t>
  </si>
  <si>
    <t>t7 Other Other Costs 3</t>
  </si>
  <si>
    <t>t7 Other Total Costs</t>
  </si>
  <si>
    <t>t7 Total Youth Served</t>
  </si>
  <si>
    <t>t7 YOBG Per Capita Costs</t>
  </si>
  <si>
    <t>t7 Total Per Capita Costs</t>
  </si>
  <si>
    <t>t7 Program Description</t>
  </si>
  <si>
    <t>t7 Youth Served 1</t>
  </si>
  <si>
    <t>t7 Youth Served 2</t>
  </si>
  <si>
    <t>t7 Youth Served 3</t>
  </si>
  <si>
    <t>t7 Youth Served 4</t>
  </si>
  <si>
    <t>Template 8 Program Name</t>
  </si>
  <si>
    <t xml:space="preserve">Template 8 Alternative Program Name </t>
  </si>
  <si>
    <t>t8 YOBG Salaries</t>
  </si>
  <si>
    <t>t8 YOBG Services</t>
  </si>
  <si>
    <t>t8 YOBG Professional Services</t>
  </si>
  <si>
    <t>t8 YOBG CBOs</t>
  </si>
  <si>
    <t>t8 YOBG Fixed Assets</t>
  </si>
  <si>
    <t>t8 YOBG Admin</t>
  </si>
  <si>
    <t>t8YOBG Other Costs 1</t>
  </si>
  <si>
    <t>t8 YOBG Other Costs 2</t>
  </si>
  <si>
    <t>t8 YOBG Other Costs 3</t>
  </si>
  <si>
    <t>t8 YOBG Total Costs</t>
  </si>
  <si>
    <t>t8 JJCPA Salaries</t>
  </si>
  <si>
    <t>t8 JJCPA Services</t>
  </si>
  <si>
    <t>t8 JJCPA Professional Services</t>
  </si>
  <si>
    <t>t8 JJCPA CBOs</t>
  </si>
  <si>
    <t>t8 JJCPA Fixed Assets</t>
  </si>
  <si>
    <t>t8 JJCPA Admin</t>
  </si>
  <si>
    <t>t8 JJCPA Other Costs 1</t>
  </si>
  <si>
    <t>t8 JJCPA Other Costs 2</t>
  </si>
  <si>
    <t>t8 JJCPA Other Costs 3</t>
  </si>
  <si>
    <t>t8 JJCPA Total Costs</t>
  </si>
  <si>
    <t>t8 Other Salaries</t>
  </si>
  <si>
    <t>t8 Other Services</t>
  </si>
  <si>
    <t>t8 Other Professional Services</t>
  </si>
  <si>
    <t>t8 Other CBOs</t>
  </si>
  <si>
    <t>t8 Other Fixed Assets</t>
  </si>
  <si>
    <t>t8 Other Admin</t>
  </si>
  <si>
    <t>t8 Other Other Costs 1</t>
  </si>
  <si>
    <t>t8 Other Other Costs 2</t>
  </si>
  <si>
    <t>t8 Other Other Costs 3</t>
  </si>
  <si>
    <t>t8 Other Total Costs</t>
  </si>
  <si>
    <t>t8 Total Youth Served</t>
  </si>
  <si>
    <t>t8 YOBG Per Capita Costs</t>
  </si>
  <si>
    <t>t8 Total Per Capita Costs</t>
  </si>
  <si>
    <t>t8 Youth Served 1</t>
  </si>
  <si>
    <t>t8 Youth Served 2</t>
  </si>
  <si>
    <t>t8 Youth Served 3</t>
  </si>
  <si>
    <t>t8 Youth Served 4</t>
  </si>
  <si>
    <t>Template 9 Program Name</t>
  </si>
  <si>
    <t>Total Planned Youth Served</t>
  </si>
  <si>
    <t xml:space="preserve">Template 9 Alternative Program Name </t>
  </si>
  <si>
    <t>t9 YOBG Salaries</t>
  </si>
  <si>
    <t>t9 YOBG Services</t>
  </si>
  <si>
    <t>t9 YOBG Professional Services</t>
  </si>
  <si>
    <t>t9 YOBG CBOs</t>
  </si>
  <si>
    <t>t9 YOBG Fixed Assets</t>
  </si>
  <si>
    <t>t9 YOBG Admin</t>
  </si>
  <si>
    <t>t9YOBG Other Costs 1</t>
  </si>
  <si>
    <t>t9 YOBG Other Costs 2</t>
  </si>
  <si>
    <t>t9 YOBG Other Costs 3</t>
  </si>
  <si>
    <t>t9 YOBG Total Costs</t>
  </si>
  <si>
    <t>t9 JJCPA Salaries</t>
  </si>
  <si>
    <t>t9 JJCPA Services</t>
  </si>
  <si>
    <t>t9 JJCPA Professional Services</t>
  </si>
  <si>
    <t>t9 JJCPA CBOs</t>
  </si>
  <si>
    <t>t9 JJCPA Fixed Assets</t>
  </si>
  <si>
    <t>t9 JJCPA Admin</t>
  </si>
  <si>
    <t>t9 JJCPA Other Costs 1</t>
  </si>
  <si>
    <t>t9 JJCPA Other Costs 2</t>
  </si>
  <si>
    <t>t9 JJCPA Other Costs 3</t>
  </si>
  <si>
    <t>t9 JJCPA Total Costs</t>
  </si>
  <si>
    <t>t9 Other Salaries</t>
  </si>
  <si>
    <t>t9 Other Services</t>
  </si>
  <si>
    <t>t9 Other Professional Services</t>
  </si>
  <si>
    <t>t9 Other CBOs</t>
  </si>
  <si>
    <t>t9 Other Fixed Assets</t>
  </si>
  <si>
    <t>t9 Other Admin</t>
  </si>
  <si>
    <t>t9 Other Other Costs 1</t>
  </si>
  <si>
    <t>t9 Other Other Costs 2</t>
  </si>
  <si>
    <t>t9 Other Other Costs 3</t>
  </si>
  <si>
    <t>t9 Other Total Costs</t>
  </si>
  <si>
    <t>t9 Total Youth Served</t>
  </si>
  <si>
    <t>t9 YOBG Per Capita Costs</t>
  </si>
  <si>
    <t>t9 Total Per Capita Costs</t>
  </si>
  <si>
    <t>t9 Program Description</t>
  </si>
  <si>
    <t>t8 Program Description</t>
  </si>
  <si>
    <t>t9 Youth Served 1</t>
  </si>
  <si>
    <t>t9 Youth Served 2</t>
  </si>
  <si>
    <t>t9 Youth Served 3</t>
  </si>
  <si>
    <t>t9 Youth Served 4</t>
  </si>
  <si>
    <t>t10 YOBG Per Capita Costs</t>
  </si>
  <si>
    <t>Template 10 Program Name</t>
  </si>
  <si>
    <t>t1otherexpenses1</t>
  </si>
  <si>
    <t>t1otherexpenses2</t>
  </si>
  <si>
    <t>t1otherexpenses3</t>
  </si>
  <si>
    <t>t2otherexpenses1</t>
  </si>
  <si>
    <t>t2otherexpenses2</t>
  </si>
  <si>
    <t>t2otherexpenses3</t>
  </si>
  <si>
    <t>t3otherexpenses1</t>
  </si>
  <si>
    <t>t3otherexpenses2</t>
  </si>
  <si>
    <t>t3otherexpenses3</t>
  </si>
  <si>
    <t>t4otherexpenses1</t>
  </si>
  <si>
    <t>t4otherexpenses2</t>
  </si>
  <si>
    <t>t4otherexpenses3</t>
  </si>
  <si>
    <t>t5otherexpenses1</t>
  </si>
  <si>
    <t>t5otherexpenses2</t>
  </si>
  <si>
    <t>t5otherexpenses3</t>
  </si>
  <si>
    <t>t6otherexpenses1</t>
  </si>
  <si>
    <t>t6otherexpenses2</t>
  </si>
  <si>
    <t>t6otherexpenses3</t>
  </si>
  <si>
    <t>t7otherexpenses1</t>
  </si>
  <si>
    <t>t7otherexpenses2</t>
  </si>
  <si>
    <t>t7otherexpenses3</t>
  </si>
  <si>
    <t>t8otherexpenses1</t>
  </si>
  <si>
    <t>t8otherexpenses2</t>
  </si>
  <si>
    <t>t8otherexpenses3</t>
  </si>
  <si>
    <t>t9otherexpenses1</t>
  </si>
  <si>
    <t>t9otherexpenses2</t>
  </si>
  <si>
    <t>t9otherexpenses3</t>
  </si>
  <si>
    <t>t10otherexpenses1</t>
  </si>
  <si>
    <t>t10otherexpenses2</t>
  </si>
  <si>
    <t>t10otherexpenses3</t>
  </si>
  <si>
    <t xml:space="preserve">Template 10 Alternative Program Name </t>
  </si>
  <si>
    <t>STRATEGY FOR REALIGNED YOUTH</t>
  </si>
  <si>
    <t>3.  In what ways, if any, does your strategy differ from your strategy for dealing with other offenders?</t>
  </si>
  <si>
    <t>Primary Contact</t>
  </si>
  <si>
    <t>Primary Contact Email</t>
  </si>
  <si>
    <r>
      <t>3.</t>
    </r>
    <r>
      <rPr>
        <sz val="10"/>
        <rFont val="Arial"/>
        <family val="2"/>
      </rPr>
      <t xml:space="preserve"> Describe the nature of the coordination between JJCPA and YOBG.  If none, explain why.  </t>
    </r>
  </si>
  <si>
    <t xml:space="preserve">Welfare and Institutions Code Section 1961(a)(4) requires each county to provide a description of any regional agreements or arrangements to be supported by YOBG funds.  Use the space below to describe any such regional agreements or arrangements.  Enter "N/A" if none exist or are planned. </t>
  </si>
  <si>
    <r>
      <t xml:space="preserve">    provided.)  </t>
    </r>
    <r>
      <rPr>
        <b/>
        <sz val="10"/>
        <rFont val="Arial"/>
        <family val="2"/>
      </rPr>
      <t/>
    </r>
  </si>
  <si>
    <t>COUNTY NAME</t>
  </si>
  <si>
    <t>DATE OF REPORT</t>
  </si>
  <si>
    <t>Provide an estimate of the number of times each of the below assessment instruments will be administered and paid for in whole or in part with YOBG funds during the 2011-2012 fiscal year.  Record the name of any instrument not listed and provide the corresponding estimate.</t>
  </si>
  <si>
    <t>ESTIMATED NUMBER OF ASSESSMENTS</t>
  </si>
  <si>
    <t>INSTRUMENT</t>
  </si>
  <si>
    <t>Correctional Offender Manager Profile of Alternative Sanctions (COMPAS)</t>
  </si>
  <si>
    <t>Juvenile Assessment and Intervention System (JAIS)</t>
  </si>
  <si>
    <t>Level of Severity Inventory - Revised (LSI-R)</t>
  </si>
  <si>
    <t>Massachusetts Youth Screening Instrument - Second Version (MAYSI-2)</t>
  </si>
  <si>
    <t>Juvenile Risk Assessment (and Re-Assessment) (NIC)</t>
  </si>
  <si>
    <t>Positive Achievement Change Tool (PACT)</t>
  </si>
  <si>
    <t>Risk and Resiliency Checkup (RRC)</t>
  </si>
  <si>
    <t>Youth Level of Service/Case Management Inventory (YLS/CMI)</t>
  </si>
  <si>
    <t>Other (Specify) &gt;&gt;&gt;:</t>
  </si>
  <si>
    <t>Other Assessment Instrument Name4</t>
  </si>
  <si>
    <t>Administrations of Other Assessment Instrument4</t>
  </si>
  <si>
    <t>REGIONAL AGREEMENTS</t>
  </si>
  <si>
    <r>
      <t xml:space="preserve">Services and Supplies </t>
    </r>
    <r>
      <rPr>
        <sz val="10"/>
        <rFont val="Arial"/>
        <family val="2"/>
      </rPr>
      <t>includes expenditures for services and supplies necessary for the operation of the project (e.g., lease payments for vehicles and/or office space, office supplies) and/or services provided to participants and/or family members as part of the project's design (e.g., basic necessities such as food, clothing, transportation, and shelter/housing; and related costs).</t>
    </r>
  </si>
  <si>
    <t>t1goals</t>
  </si>
  <si>
    <t>t1funds</t>
  </si>
  <si>
    <t>Primary Contact Phone</t>
  </si>
  <si>
    <t>Primary Contact Title</t>
  </si>
  <si>
    <t>t1 Youth Served 5</t>
  </si>
  <si>
    <t>t1 Youth Served 6</t>
  </si>
  <si>
    <t>t2 Youth Served 5</t>
  </si>
  <si>
    <t>t2 youth Served 6</t>
  </si>
  <si>
    <t>t3 Youth Served 5</t>
  </si>
  <si>
    <t>t3 Youth Served 6</t>
  </si>
  <si>
    <t>t4 Youth Served 5</t>
  </si>
  <si>
    <t>t4 Youth Served 6</t>
  </si>
  <si>
    <t>t5 Youth Served 5</t>
  </si>
  <si>
    <t>t5 Youth Served 6</t>
  </si>
  <si>
    <t>t6 Youth Served 5</t>
  </si>
  <si>
    <t>t6 Youth Served 6</t>
  </si>
  <si>
    <t>t7 Youth Served 5</t>
  </si>
  <si>
    <t>t7 Youth served 6</t>
  </si>
  <si>
    <t>t8 Youth Served 5</t>
  </si>
  <si>
    <t>t8 Youth Served 6</t>
  </si>
  <si>
    <t>t9 Youth Served 5</t>
  </si>
  <si>
    <t>t9 Youth Served 6</t>
  </si>
  <si>
    <t>t10 Youth Served 5</t>
  </si>
  <si>
    <t>t10 Youth Served 6</t>
  </si>
  <si>
    <t>ASI</t>
  </si>
  <si>
    <t>COMPAS</t>
  </si>
  <si>
    <t>JAIS</t>
  </si>
  <si>
    <t>LSI-R</t>
  </si>
  <si>
    <t>MAYSI-2</t>
  </si>
  <si>
    <t>MAYSI</t>
  </si>
  <si>
    <t>NIC</t>
  </si>
  <si>
    <t>PACT</t>
  </si>
  <si>
    <t>RRC</t>
  </si>
  <si>
    <t>YLS/CMI</t>
  </si>
  <si>
    <t>Other Assessment Instrument Name1</t>
  </si>
  <si>
    <t>Explanation of Discrepancy</t>
  </si>
  <si>
    <t>Other Assessment Instrument Name2</t>
  </si>
  <si>
    <t>Other Assessment Instrument Name3</t>
  </si>
  <si>
    <t>Aministrations of Other Assessment Instrument1</t>
  </si>
  <si>
    <t>Administrations of Other Assessment Instrument2</t>
  </si>
  <si>
    <t>Administrations of Other Assessment Instrument3</t>
  </si>
  <si>
    <t>Strategy for Realligned Youth</t>
  </si>
  <si>
    <t>Strategy Narrative</t>
  </si>
  <si>
    <t>Strategy Differences with Other Strategies</t>
  </si>
  <si>
    <t>Plans for Strategy</t>
  </si>
  <si>
    <t>JJCPA coordinated with YOBG</t>
  </si>
  <si>
    <t>JJCPA JJCC Aware of YOBG Expenditures</t>
  </si>
  <si>
    <t>Regional Agreements</t>
  </si>
  <si>
    <t>JJCPA and YOBG coordination</t>
  </si>
  <si>
    <t>Total Planned YOBG Expenditures</t>
  </si>
  <si>
    <t>Total Planned JJCAP Expenditures</t>
  </si>
  <si>
    <t>Total Planned Other Expenditures</t>
  </si>
  <si>
    <t>t2goals</t>
  </si>
  <si>
    <t>t2funds</t>
  </si>
  <si>
    <t>t3goals</t>
  </si>
  <si>
    <t>t3funds</t>
  </si>
  <si>
    <t>t4goals</t>
  </si>
  <si>
    <t>t4funds</t>
  </si>
  <si>
    <t>t5goals</t>
  </si>
  <si>
    <t>t5funds</t>
  </si>
  <si>
    <t>t6goals</t>
  </si>
  <si>
    <t>t6funds</t>
  </si>
  <si>
    <t>t7goals</t>
  </si>
  <si>
    <t>t7funds</t>
  </si>
  <si>
    <t>t8goals</t>
  </si>
  <si>
    <t>t8funds</t>
  </si>
  <si>
    <t>t9goals</t>
  </si>
  <si>
    <t>t9funds</t>
  </si>
  <si>
    <t>t10goals</t>
  </si>
  <si>
    <t>t10funds</t>
  </si>
  <si>
    <t>COORDINATION WITH JJCPA</t>
  </si>
  <si>
    <t>t1barrier</t>
  </si>
  <si>
    <t>t2barrier</t>
  </si>
  <si>
    <t>t3barrier</t>
  </si>
  <si>
    <t>t4barrier</t>
  </si>
  <si>
    <t>t5barrier</t>
  </si>
  <si>
    <t>t6barrier</t>
  </si>
  <si>
    <t>t7barrier</t>
  </si>
  <si>
    <t>t8barrier</t>
  </si>
  <si>
    <t>t9barrier</t>
  </si>
  <si>
    <t>t10barrier</t>
  </si>
  <si>
    <t>Total 0708 Allocations</t>
  </si>
  <si>
    <t>Total 0809 Allocations</t>
  </si>
  <si>
    <t>Total 0910 Allocations</t>
  </si>
  <si>
    <t>Discrepancy</t>
  </si>
  <si>
    <t>Total 10/11 Allocations</t>
  </si>
  <si>
    <t xml:space="preserve">t1 JJCPA Exp </t>
  </si>
  <si>
    <t>t1 Other Exp</t>
  </si>
  <si>
    <t xml:space="preserve">t2 JJCPA Exp </t>
  </si>
  <si>
    <t>t2 Other Exp</t>
  </si>
  <si>
    <t xml:space="preserve">t3 JJCPA Exp </t>
  </si>
  <si>
    <t>t3 Other Exp</t>
  </si>
  <si>
    <t xml:space="preserve">t4 JJCPA Exp </t>
  </si>
  <si>
    <t>t4 Other Exp</t>
  </si>
  <si>
    <t xml:space="preserve">t5 JJCPA Exp </t>
  </si>
  <si>
    <t>t5 Other Exp</t>
  </si>
  <si>
    <t xml:space="preserve">t6 JJCPA Exp </t>
  </si>
  <si>
    <t>t6 Other Exp</t>
  </si>
  <si>
    <t xml:space="preserve">t7 JJCPA Exp </t>
  </si>
  <si>
    <t>t7 Other Exp</t>
  </si>
  <si>
    <t xml:space="preserve">t8 JJCPA Exp </t>
  </si>
  <si>
    <t>t8 Other Exp</t>
  </si>
  <si>
    <t xml:space="preserve">t9 JJCPA Exp </t>
  </si>
  <si>
    <t>t9 Other Exp</t>
  </si>
  <si>
    <t xml:space="preserve">t10 JJCPA Exp </t>
  </si>
  <si>
    <t>t10 Other Exp</t>
  </si>
  <si>
    <r>
      <t xml:space="preserve">    (Limit your response to the space provided.)  </t>
    </r>
    <r>
      <rPr>
        <b/>
        <sz val="10"/>
        <rFont val="Arial"/>
        <family val="2"/>
      </rPr>
      <t/>
    </r>
  </si>
  <si>
    <t>YOBG-FUNDED ASSESSMENTS</t>
  </si>
  <si>
    <t>Mono</t>
  </si>
  <si>
    <t>Del Norte</t>
  </si>
  <si>
    <t>2010-2011YOBG Actual Expenditures For:</t>
  </si>
  <si>
    <t>Re-Entry or Aftercare Services</t>
  </si>
  <si>
    <t xml:space="preserve">4.  What plans, if any, do you have for developing a strategy for dealing with non-707(b) offenders? </t>
  </si>
  <si>
    <t>t10 YOBG Salaries</t>
  </si>
  <si>
    <t>t10 YOBG Services</t>
  </si>
  <si>
    <t>t10 YOBG Professional Services</t>
  </si>
  <si>
    <t>t10 YOBG CBOs</t>
  </si>
  <si>
    <t>t10 YOBG Fixed Assets</t>
  </si>
  <si>
    <t>t10 YOBG Admin</t>
  </si>
  <si>
    <t>t10YOBG Other Costs 1</t>
  </si>
  <si>
    <t>t10 YOBG Other Costs 2</t>
  </si>
  <si>
    <t>t10 YOBG Other Costs 3</t>
  </si>
  <si>
    <t>t10 YOBG Total Costs</t>
  </si>
  <si>
    <t>t10 JJCPA Salaries</t>
  </si>
  <si>
    <t>t10 JJCPA Services</t>
  </si>
  <si>
    <t>t10 JJCPA Professional Services</t>
  </si>
  <si>
    <t>t10 JJCPA CBOs</t>
  </si>
  <si>
    <t>t10 JJCPA Fixed Assets</t>
  </si>
  <si>
    <t>t10 JJCPA Admin</t>
  </si>
  <si>
    <t>t10 JJCPA Other Costs 1</t>
  </si>
  <si>
    <t>t10 JJCPA Other Costs 2</t>
  </si>
  <si>
    <t>t10 JJCPA Other Costs 3</t>
  </si>
  <si>
    <t>t10 JJCPA Total Costs</t>
  </si>
  <si>
    <t>t10 Other Salaries</t>
  </si>
  <si>
    <t>t10 Other Services</t>
  </si>
  <si>
    <t>t10 Other Professional Services</t>
  </si>
  <si>
    <t>t10 Other CBOs</t>
  </si>
  <si>
    <t>t10 Other Fixed Assets</t>
  </si>
  <si>
    <t>t10 Other Admin</t>
  </si>
  <si>
    <t>t10 Other Other Costs 1</t>
  </si>
  <si>
    <t>t10 Other Other Costs 2</t>
  </si>
  <si>
    <t>t10 Other Other Costs 3</t>
  </si>
  <si>
    <t>t10 Other Total Costs</t>
  </si>
  <si>
    <t>t10 Total Youth Served</t>
  </si>
  <si>
    <t>t10 Total Per Capita Costs</t>
  </si>
  <si>
    <t>t10 Program Description</t>
  </si>
  <si>
    <t>t10 Youth Served 1</t>
  </si>
  <si>
    <t>t10 Youth Served 2</t>
  </si>
  <si>
    <t>t10 Youth Served 3</t>
  </si>
  <si>
    <t>t10 Youth Served 4</t>
  </si>
  <si>
    <t>Secondary Contact Name</t>
  </si>
  <si>
    <t>Secondary Contact Title</t>
  </si>
  <si>
    <t>Secondary Contact Phone</t>
  </si>
  <si>
    <t>Secondary Contact Email</t>
  </si>
  <si>
    <t>Addiction Severity Index (ASI)</t>
  </si>
  <si>
    <t>Back on Track</t>
  </si>
  <si>
    <t>Massachusetts Youth Screening Instrument (MAYSI)</t>
  </si>
  <si>
    <t>WIC 602 Youth</t>
  </si>
  <si>
    <t>WIC 601 Youth</t>
  </si>
  <si>
    <t>WIC 300/600 Youth</t>
  </si>
  <si>
    <t>DEJ Youth</t>
  </si>
  <si>
    <t>Informal Probationers (Including 654's)</t>
  </si>
  <si>
    <t>N/A (No Youth Served)</t>
  </si>
  <si>
    <t>Felony Offenders</t>
  </si>
  <si>
    <t>Misdemeanor Offenders</t>
  </si>
  <si>
    <t>Violent Offenders</t>
  </si>
  <si>
    <t>Drug Offenders</t>
  </si>
  <si>
    <t>Sex Offenders</t>
  </si>
  <si>
    <t>In Custody Offenders</t>
  </si>
  <si>
    <t xml:space="preserve">Repeat Offenders </t>
  </si>
  <si>
    <t>Offenders with Mental Health Needs</t>
  </si>
  <si>
    <t>Offenders with Gang Affiliations</t>
  </si>
  <si>
    <t>Female Offenders</t>
  </si>
  <si>
    <t>Male Offenders</t>
  </si>
  <si>
    <t>"At Risk" Juveniles</t>
  </si>
  <si>
    <t xml:space="preserve">Welfare and Institutions Code Section 1961(a)(3) requires each county to provide a description of how its </t>
  </si>
  <si>
    <t xml:space="preserve">Juvenile Justice Development Plan relates to or supports its overall strategy for dealing with youthful offenders </t>
  </si>
  <si>
    <t xml:space="preserve">who have not committed an offense described in WIC 707(b) or PC 290.008 and are no longer eligible for </t>
  </si>
  <si>
    <t xml:space="preserve">commitment to the Division of Juvenile Justice facilities.  In the spaces below provide the requested information  </t>
  </si>
  <si>
    <t>concerning your strategy for dealing with non-707(b) offenders.</t>
  </si>
  <si>
    <t>1.  Does you county have a strategy for dealing with non-707(b) offenders?</t>
  </si>
  <si>
    <t xml:space="preserve">2.  Briefly describe your strategy for dealing with non-707(b) offenders.  (Limit your response to the space </t>
  </si>
  <si>
    <t xml:space="preserve">Welfare and Institutions Code Section 1961(a)(5) requires each county to provide a description of how the </t>
  </si>
  <si>
    <t xml:space="preserve">programs, placements, services or strategies in its Juvenile Justice Development Plan coordinate with   </t>
  </si>
  <si>
    <t xml:space="preserve">programs identified in the county's Juvenile Justice Crime Prevention Act (JJCPA) - Comprehensive </t>
  </si>
  <si>
    <t>Multi - Agency Plan.</t>
  </si>
  <si>
    <r>
      <t>1.</t>
    </r>
    <r>
      <rPr>
        <sz val="9"/>
        <rFont val="Arial"/>
        <family val="2"/>
      </rPr>
      <t xml:space="preserve">  Is your Juvenile Justice Coordinating Council aware of your planned YOBG expenditures?</t>
    </r>
  </si>
  <si>
    <r>
      <t>2.</t>
    </r>
    <r>
      <rPr>
        <sz val="10"/>
        <rFont val="Arial"/>
        <family val="2"/>
      </rPr>
      <t xml:space="preserve"> Were there specific discussions related to coordination between JJCPA and YOBG?</t>
    </r>
  </si>
  <si>
    <r>
      <t xml:space="preserve">This concludes the application.  </t>
    </r>
    <r>
      <rPr>
        <b/>
        <sz val="10"/>
        <rFont val="Arial"/>
        <family val="2"/>
      </rPr>
      <t xml:space="preserve">Save the file using the naming convention specified in the first  </t>
    </r>
  </si>
  <si>
    <t>worksheet ("CONTACT INFORMATION") and attach the file to an email to JJDP@cdcr.ca.gov.</t>
  </si>
  <si>
    <t>Yes</t>
  </si>
  <si>
    <t>No</t>
  </si>
  <si>
    <t>Alameda</t>
  </si>
  <si>
    <t>Amador</t>
  </si>
  <si>
    <t>Butte</t>
  </si>
  <si>
    <t>Calaveras</t>
  </si>
  <si>
    <t>Colusa</t>
  </si>
  <si>
    <t>Contra Costa</t>
  </si>
  <si>
    <t>El Dorado</t>
  </si>
  <si>
    <t>Fresno</t>
  </si>
  <si>
    <t>Glenn</t>
  </si>
  <si>
    <t>Humboldt</t>
  </si>
  <si>
    <t>Imperial</t>
  </si>
  <si>
    <t>Inyo</t>
  </si>
  <si>
    <t>Kern</t>
  </si>
  <si>
    <t>Kings</t>
  </si>
  <si>
    <t>Lake</t>
  </si>
  <si>
    <t>Lassen</t>
  </si>
  <si>
    <t>Los Angeles</t>
  </si>
  <si>
    <t>Madera</t>
  </si>
  <si>
    <t>Marin</t>
  </si>
  <si>
    <t>Mariposa</t>
  </si>
  <si>
    <t>Mendocino</t>
  </si>
  <si>
    <t>Merced</t>
  </si>
  <si>
    <t>Modoc</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</si>
  <si>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</si>
  <si>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</si>
  <si>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</si>
  <si>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</si>
  <si>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</si>
  <si>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</si>
  <si>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</si>
  <si>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</si>
  <si>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</si>
  <si>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</si>
  <si>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</si>
  <si>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</si>
  <si>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</si>
  <si>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</si>
  <si>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</si>
  <si>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</si>
  <si>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</si>
  <si>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</si>
  <si>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</si>
  <si>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Siskiyou</t>
  </si>
  <si>
    <t>Solano</t>
  </si>
  <si>
    <t>Sonoma</t>
  </si>
  <si>
    <t>Stanislaus</t>
  </si>
  <si>
    <t>Sutter</t>
  </si>
  <si>
    <t>Tehama</t>
  </si>
  <si>
    <t>Trinity</t>
  </si>
  <si>
    <t>Tulare</t>
  </si>
  <si>
    <t>Tuolumne</t>
  </si>
  <si>
    <t>Ventura</t>
  </si>
  <si>
    <t>Yolo</t>
  </si>
  <si>
    <t>Yuba</t>
  </si>
  <si>
    <t>Sierra</t>
  </si>
  <si>
    <t>Alpine</t>
  </si>
  <si>
    <t>TELEPHONE NUMBER</t>
  </si>
  <si>
    <t>List of Expenditure Categories and Associated Numerical Codes</t>
  </si>
  <si>
    <t>Placements</t>
  </si>
  <si>
    <t>Code</t>
  </si>
  <si>
    <t>Expenditure Category</t>
  </si>
  <si>
    <t>Juvenile Hall</t>
  </si>
  <si>
    <t>Ranch</t>
  </si>
  <si>
    <t>Camp</t>
  </si>
  <si>
    <t>Other Secure/Semi-Secure Rehab Facility</t>
  </si>
  <si>
    <t>Private Residential Care</t>
  </si>
  <si>
    <t>Home on Probation</t>
  </si>
  <si>
    <t>Other Placement</t>
  </si>
  <si>
    <t>After School Services</t>
  </si>
  <si>
    <t>Aggression Replacement Therapy</t>
  </si>
  <si>
    <t>Anger Management Counseling/Treatment</t>
  </si>
  <si>
    <t>Development of Case Plan</t>
  </si>
  <si>
    <t>Community Service</t>
  </si>
  <si>
    <t>Day or Evening Treatment Program</t>
  </si>
  <si>
    <t>Detention Assessment(s)</t>
  </si>
  <si>
    <t>Electronic Monitoring</t>
  </si>
  <si>
    <t>Family Counseling</t>
  </si>
  <si>
    <t>Functional Family Therapy</t>
  </si>
  <si>
    <t>Gang Intervention</t>
  </si>
  <si>
    <t>Gender Specific Programming for Girls</t>
  </si>
  <si>
    <t>Gender Specific Programming for Boys</t>
  </si>
  <si>
    <t>Group Counseling</t>
  </si>
  <si>
    <t>Intensive Probation Supervision</t>
  </si>
  <si>
    <t>Job Placement</t>
  </si>
  <si>
    <t>Job Readiness Training</t>
  </si>
  <si>
    <t>Life/Independent Living Skills Training/Education</t>
  </si>
  <si>
    <t>Individual Mental Health Counseling</t>
  </si>
  <si>
    <t>Mental Health Screening</t>
  </si>
  <si>
    <t>Mentoring</t>
  </si>
  <si>
    <t>Monetary Incentives</t>
  </si>
  <si>
    <t>Parenting Education</t>
  </si>
  <si>
    <t>Pro-Social Skills Training</t>
  </si>
  <si>
    <t>Recreational Activities</t>
  </si>
  <si>
    <t>Restitution</t>
  </si>
  <si>
    <t>Restorative Justice</t>
  </si>
  <si>
    <t>Risk and/or Needs Assessment</t>
  </si>
  <si>
    <t>Special Education Services</t>
  </si>
  <si>
    <t>Substance Abuse Screening</t>
  </si>
  <si>
    <t>Tutoring</t>
  </si>
  <si>
    <t>Vocational Training</t>
  </si>
  <si>
    <t>Staff Training/Professional Development</t>
  </si>
  <si>
    <t>Capital Improvements</t>
  </si>
  <si>
    <t>Equipment</t>
  </si>
  <si>
    <t>Contract Services</t>
  </si>
  <si>
    <t>Other Procurements</t>
  </si>
  <si>
    <t>Other</t>
  </si>
  <si>
    <t>Staff Salaries/Benefits</t>
  </si>
  <si>
    <t xml:space="preserve">Direct </t>
  </si>
  <si>
    <t>Services</t>
  </si>
  <si>
    <t>Transitional Living Services/Placement</t>
  </si>
  <si>
    <t>Other Direct Service</t>
  </si>
  <si>
    <t>Capacity</t>
  </si>
  <si>
    <t>Building/</t>
  </si>
  <si>
    <t>Maintenance</t>
  </si>
  <si>
    <t>Activities</t>
  </si>
  <si>
    <t>A.  CONTACT INFORMATION</t>
  </si>
  <si>
    <t>NAME</t>
  </si>
  <si>
    <t>EMAIL ADDRESS</t>
  </si>
  <si>
    <t>TITLE</t>
  </si>
  <si>
    <t>COMPLETING THE REMAINDER OF THE REPORT:</t>
  </si>
  <si>
    <t>Salaries &amp; Benefits:</t>
  </si>
  <si>
    <t>Services &amp; Supplies:</t>
  </si>
  <si>
    <t>Professional Services:</t>
  </si>
  <si>
    <t>Community Based Organizations:</t>
  </si>
  <si>
    <t>Fixed Assets/Equipment:</t>
  </si>
  <si>
    <t>Administrative Overhead:</t>
  </si>
  <si>
    <t>YOBG Funds</t>
  </si>
  <si>
    <t>TOTAL:</t>
  </si>
  <si>
    <t>JJCPA Funds</t>
  </si>
  <si>
    <t>Alcohol and Drug Treatment</t>
  </si>
  <si>
    <t>Other Expenditures (List Below):</t>
  </si>
  <si>
    <r>
      <t>Salaries and Benefits</t>
    </r>
    <r>
      <rPr>
        <sz val="10"/>
        <rFont val="Arial"/>
        <family val="2"/>
      </rPr>
      <t xml:space="preserve"> includes all expenditures related to paying the salaries and benefits of county probation (or other county department) employees who were directly involved in grant-related activities. </t>
    </r>
  </si>
  <si>
    <t>County</t>
  </si>
  <si>
    <t>Address</t>
  </si>
  <si>
    <t>Date of Report</t>
  </si>
  <si>
    <t>Chief</t>
  </si>
  <si>
    <t>Chief Phone</t>
  </si>
  <si>
    <t>City</t>
  </si>
  <si>
    <t>Chief Email</t>
  </si>
  <si>
    <t>Zip Code</t>
  </si>
  <si>
    <t>t1 YOBG Salaries</t>
  </si>
  <si>
    <t>t1 YOBG Services</t>
  </si>
  <si>
    <t>t1 YOBG Professional Services</t>
  </si>
  <si>
    <t>t1 YOBG CBOs</t>
  </si>
  <si>
    <t>t1 YOBG Fixed Assets</t>
  </si>
  <si>
    <t>t1 YOBG Admin</t>
  </si>
  <si>
    <t>t1 YOBG Other Costs 1</t>
  </si>
  <si>
    <t>t1 YOBG Other Costs 2</t>
  </si>
  <si>
    <t>t1 YOBG Total Costs</t>
  </si>
  <si>
    <t>t1 JJCPA Salaries</t>
  </si>
  <si>
    <t>t1 JJCPA Services</t>
  </si>
  <si>
    <t>t1 JJCPA Professional Services</t>
  </si>
  <si>
    <t>t1 JJCPA CBOs</t>
  </si>
  <si>
    <t>t1 JJCPA Fixed Assets</t>
  </si>
  <si>
    <t>t1 JJCPA Admin</t>
  </si>
  <si>
    <t>t1 JJCPA Other Costs 1</t>
  </si>
  <si>
    <t>t1 JJCPA Other Costs 2</t>
  </si>
  <si>
    <t>t1 JJCPA Total Costs</t>
  </si>
  <si>
    <t>t1 Other Salaries</t>
  </si>
  <si>
    <t>t1 Other Services</t>
  </si>
  <si>
    <t>t1 Other Professional Services</t>
  </si>
  <si>
    <t>t1 Other CBOs</t>
  </si>
  <si>
    <t>t1 Other Fixed Assets</t>
  </si>
  <si>
    <t>t1 Other Admin</t>
  </si>
  <si>
    <t>t1 Other Other Costs 1</t>
  </si>
  <si>
    <t>t1 Other Other Costs 2</t>
  </si>
  <si>
    <t>t1 Other Total Costs</t>
  </si>
  <si>
    <t>t1 Total Youth Served</t>
  </si>
  <si>
    <t>t1 YOBG Per Capita Costs</t>
  </si>
  <si>
    <t>t1 Total Per Capita Costs</t>
  </si>
  <si>
    <t>t1 Program Description</t>
  </si>
  <si>
    <t>t1 Youth Served 1</t>
  </si>
  <si>
    <t>t1 Youth Served 2</t>
  </si>
  <si>
    <t>t1 Youth Served 3</t>
  </si>
  <si>
    <t>t1 Youth Served 4</t>
  </si>
  <si>
    <t>t1 YOBG Other Costs 3</t>
  </si>
  <si>
    <t>t1 JJCPA Other Costs 3</t>
  </si>
  <si>
    <t>t1 Other Other Costs 3</t>
  </si>
  <si>
    <t>Template 1 Program Name</t>
  </si>
  <si>
    <t xml:space="preserve">Template 1 Alternative Program Name </t>
  </si>
  <si>
    <t>Template 2 Program Name</t>
  </si>
  <si>
    <t xml:space="preserve">Template 2 Alternative Program Name </t>
  </si>
  <si>
    <t>t2 YOBG Salaries</t>
  </si>
  <si>
    <t>t2 YOBG Services</t>
  </si>
  <si>
    <t>t2 YOBG Professional Services</t>
  </si>
  <si>
    <t>t2 YOBG CBOs</t>
  </si>
  <si>
    <t>t2 YOBG Fixed Assets</t>
  </si>
  <si>
    <t>t2 YOBG Admin</t>
  </si>
  <si>
    <t>t2YOBG Other Costs 1</t>
  </si>
  <si>
    <t>t2 YOBG Other Costs 2</t>
  </si>
  <si>
    <t>t2 YOBG Other Costs 3</t>
  </si>
  <si>
    <t>t2 YOBG Total Costs</t>
  </si>
  <si>
    <t>t2 JJCPA Salaries</t>
  </si>
  <si>
    <t>t2 JJCPA Services</t>
  </si>
  <si>
    <t>t2 JJCPA Professional Services</t>
  </si>
  <si>
    <t>t2 JJCPA CBOs</t>
  </si>
  <si>
    <t>t2 JJCPA Fixed Assets</t>
  </si>
  <si>
    <t>t2 JJCPA Admin</t>
  </si>
  <si>
    <t>t2 JJCPA Other Costs 1</t>
  </si>
  <si>
    <t>t2 JJCPA Other Costs 2</t>
  </si>
  <si>
    <t>t2 JJCPA Other Costs 3</t>
  </si>
  <si>
    <t>t2 JJCPA Total Costs</t>
  </si>
  <si>
    <t>t2 Other Salaries</t>
  </si>
  <si>
    <t>t2 Other Services</t>
  </si>
  <si>
    <t>t2 Other Professional Services</t>
  </si>
  <si>
    <t>t2 Other CBOs</t>
  </si>
  <si>
    <t>t2 Other Fixed Assets</t>
  </si>
  <si>
    <t>t2 Other Admin</t>
  </si>
  <si>
    <t>t2 Other Other Costs 1</t>
  </si>
  <si>
    <t>t2 Other Other Costs 2</t>
  </si>
  <si>
    <t>t2 Other Other Costs 3</t>
  </si>
  <si>
    <t>t2 Other Total Costs</t>
  </si>
  <si>
    <t>t2 Total Youth Served</t>
  </si>
  <si>
    <t>t2 YOBG Per Capita Costs</t>
  </si>
  <si>
    <t>t2 Total Per Capita Costs</t>
  </si>
  <si>
    <t>t2 Youth Served 1</t>
  </si>
  <si>
    <t>t2 Youth Served 2</t>
  </si>
  <si>
    <t>t2 Youth Served 3</t>
  </si>
  <si>
    <t>t2 Youth Served 4</t>
  </si>
  <si>
    <t>Template 3 Program Name</t>
  </si>
  <si>
    <t xml:space="preserve">Template 3 Alternative Program Name </t>
  </si>
  <si>
    <t>t3 YOBG Salaries</t>
  </si>
  <si>
    <t>t3 YOBG Services</t>
  </si>
  <si>
    <t>t3 YOBG Professional Services</t>
  </si>
  <si>
    <t>t3 YOBG CBOs</t>
  </si>
  <si>
    <t>t3 YOBG Fixed Assets</t>
  </si>
  <si>
    <t>t3 YOBG Admin</t>
  </si>
  <si>
    <t>t3YOBG Other Costs 1</t>
  </si>
  <si>
    <t>t3 YOBG Other Costs 2</t>
  </si>
  <si>
    <t>t3 YOBG Other Costs 3</t>
  </si>
  <si>
    <t>t3 YOBG Total Costs</t>
  </si>
  <si>
    <t>t3 JJCPA Salaries</t>
  </si>
  <si>
    <t>t3 JJCPA Services</t>
  </si>
  <si>
    <t>t3 JJCPA Professional Services</t>
  </si>
  <si>
    <t>t3 JJCPA CBOs</t>
  </si>
  <si>
    <t>t3 JJCPA Fixed Assets</t>
  </si>
  <si>
    <t>t3 JJCPA Admin</t>
  </si>
  <si>
    <t>t3 JJCPA Other Costs 1</t>
  </si>
  <si>
    <t>t3 JJCPA Other Costs 2</t>
  </si>
  <si>
    <t>t3 JJCPA Other Costs 3</t>
  </si>
  <si>
    <t>t3 JJCPA Total Costs</t>
  </si>
  <si>
    <t>t3 Other Salaries</t>
  </si>
  <si>
    <t>t3 Other Services</t>
  </si>
  <si>
    <t>t3 Other Professional Services</t>
  </si>
  <si>
    <t>t3 Other CBOs</t>
  </si>
  <si>
    <t>t3 Other Fixed Assets</t>
  </si>
  <si>
    <t>t3 Other Admin</t>
  </si>
  <si>
    <t>t3 Other Other Costs 1</t>
  </si>
  <si>
    <t>t3 Other Other Costs 2</t>
  </si>
  <si>
    <t>t3 Other Other Costs 3</t>
  </si>
  <si>
    <t>t3 Other Total Costs</t>
  </si>
  <si>
    <t>t3 Total Youth Served</t>
  </si>
  <si>
    <t>t3 YOBG Per Capita Costs</t>
  </si>
  <si>
    <t>t3 Total Per Capita Costs</t>
  </si>
  <si>
    <t>t2 Program Description</t>
  </si>
  <si>
    <t>t3 Program Description</t>
  </si>
  <si>
    <t>t3 Youth Served 1</t>
  </si>
  <si>
    <t>t3 Youth Served 2</t>
  </si>
  <si>
    <t>t3 Youth Served 3</t>
  </si>
  <si>
    <t>t3 Youth Served 4</t>
  </si>
  <si>
    <t>Template 4 Program Name</t>
  </si>
  <si>
    <t xml:space="preserve">Template 4 Alternative Program Name </t>
  </si>
  <si>
    <t>t4 YOBG Salaries</t>
  </si>
  <si>
    <t>t4 YOBG Services</t>
  </si>
  <si>
    <t>t4 YOBG Professional Services</t>
  </si>
  <si>
    <t>t4 YOBG CBOs</t>
  </si>
  <si>
    <t>t4 YOBG Fixed Assets</t>
  </si>
  <si>
    <t>t4 YOBG Admin</t>
  </si>
  <si>
    <t>t4YOBG Other Costs 1</t>
  </si>
  <si>
    <t>t4 YOBG Other Costs 2</t>
  </si>
  <si>
    <t>t4 YOBG Other Costs 3</t>
  </si>
  <si>
    <t>t4 YOBG Total Costs</t>
  </si>
  <si>
    <t>t4 JJCPA Salaries</t>
  </si>
  <si>
    <t>t4 JJCPA Services</t>
  </si>
  <si>
    <t>t4 JJCPA Professional Services</t>
  </si>
  <si>
    <t>t4 JJCPA CBOs</t>
  </si>
  <si>
    <t>t4 JJCPA Fixed Assets</t>
  </si>
  <si>
    <t>t4 JJCPA Admin</t>
  </si>
  <si>
    <t>t4 JJCPA Other Costs 1</t>
  </si>
  <si>
    <t>t4 JJCPA Other Costs 2</t>
  </si>
  <si>
    <t>t4 JJCPA Other Costs 3</t>
  </si>
  <si>
    <t>t4 JJCPA Total Costs</t>
  </si>
  <si>
    <t>t4 Other Salaries</t>
  </si>
  <si>
    <t>t4 Other Services</t>
  </si>
  <si>
    <t>t4 Other Professional Services</t>
  </si>
  <si>
    <t>t4 Other CBOs</t>
  </si>
  <si>
    <t>t4 Other Fixed Assets</t>
  </si>
  <si>
    <t>t4 Other Admin</t>
  </si>
  <si>
    <t>t4 Other Other Costs 1</t>
  </si>
  <si>
    <t>t4 Other Other Costs 2</t>
  </si>
  <si>
    <t>t4 Other Other Costs 3</t>
  </si>
  <si>
    <t>t4 Other Total Costs</t>
  </si>
  <si>
    <t>t4 Total Youth Served</t>
  </si>
  <si>
    <t>t4 YOBG Per Capita Costs</t>
  </si>
  <si>
    <t>t4 Total Per Capita Costs</t>
  </si>
  <si>
    <t>t4 Program Description</t>
  </si>
  <si>
    <t>t4 Youth Served 1</t>
  </si>
  <si>
    <t>t4 Youth Served 2</t>
  </si>
  <si>
    <t>t4 Youth Served 3</t>
  </si>
  <si>
    <t>t4 Youth Served 4</t>
  </si>
  <si>
    <t>Template 5 Program Name</t>
  </si>
  <si>
    <t xml:space="preserve">Template 5 Alternative Program Name </t>
  </si>
  <si>
    <t>t5 YOBG Salaries</t>
  </si>
  <si>
    <t>t5 YOBG Services</t>
  </si>
  <si>
    <t>t5 YOBG Professional Services</t>
  </si>
  <si>
    <t>t5 YOBG CBOs</t>
  </si>
  <si>
    <t>t5 YOBG Fixed Assets</t>
  </si>
  <si>
    <t>t5 YOBG Admin</t>
  </si>
  <si>
    <t>t5YOBG Other Costs 1</t>
  </si>
  <si>
    <t>t5 YOBG Other Costs 2</t>
  </si>
  <si>
    <t>t5 YOBG Other Costs 3</t>
  </si>
  <si>
    <t>t5 YOBG Total Costs</t>
  </si>
  <si>
    <t>t5 JJCPA Salaries</t>
  </si>
  <si>
    <t>t5 JJCPA Services</t>
  </si>
  <si>
    <t>t5 JJCPA Professional Services</t>
  </si>
  <si>
    <t>t5 JJCPA CBOs</t>
  </si>
  <si>
    <t>t5 JJCPA Fixed Assets</t>
  </si>
  <si>
    <t>t5 JJCPA Admin</t>
  </si>
  <si>
    <t>t5 JJCPA Other Costs 1</t>
  </si>
  <si>
    <t>t5 JJCPA Other Costs 2</t>
  </si>
  <si>
    <t>t5 JJCPA Other Costs 3</t>
  </si>
  <si>
    <t>t5 JJCPA Total Costs</t>
  </si>
  <si>
    <t>t5 Other Salaries</t>
  </si>
  <si>
    <t>t5 Other Services</t>
  </si>
  <si>
    <t>t5 Other Professional Services</t>
  </si>
  <si>
    <t>t5 Other CBOs</t>
  </si>
  <si>
    <t>t5 Other Fixed Assets</t>
  </si>
  <si>
    <t>t5 Other Admin</t>
  </si>
  <si>
    <t>t5 Other Other Costs 1</t>
  </si>
  <si>
    <t>t5 Other Other Costs 2</t>
  </si>
  <si>
    <t>t5 Other Other Costs 3</t>
  </si>
  <si>
    <t>t5 Other Total Costs</t>
  </si>
  <si>
    <t>t5 Total Youth Served</t>
  </si>
  <si>
    <t>t5 YOBG Per Capita Costs</t>
  </si>
  <si>
    <t>t5 Total Per Capita Costs</t>
  </si>
  <si>
    <t>t5 Program Description</t>
  </si>
  <si>
    <t>t5 Youth Served 1</t>
  </si>
  <si>
    <t>t5 Youth Served 2</t>
  </si>
  <si>
    <t>t5 Youth Served 3</t>
  </si>
  <si>
    <t>t5 Youth Served 4</t>
  </si>
  <si>
    <t>Template 6 Program Name</t>
  </si>
  <si>
    <t xml:space="preserve">Template 6 Alternative Program Name </t>
  </si>
  <si>
    <t>t6 YOBG Salaries</t>
  </si>
  <si>
    <t>t6 YOBG Services</t>
  </si>
  <si>
    <t>Total 11/12 Allocations</t>
  </si>
  <si>
    <t>Program 1 JJCPA Exp (yes/no)</t>
  </si>
  <si>
    <t>Program 1 JJCPA Reported Expenditures</t>
  </si>
  <si>
    <t>Program 2 JJCPA Exp (yes/no)</t>
  </si>
  <si>
    <t>Program 2 JJCPA Reported Expenditures</t>
  </si>
  <si>
    <t>Program 3 JJCPA Exp (yes/no)</t>
  </si>
  <si>
    <t>Program 3 JJCPA Reported Expenditures</t>
  </si>
  <si>
    <t>Program 4 JJCPA Exp (yes/no)</t>
  </si>
  <si>
    <t>Program 4 JJCPA Reported Expenditures</t>
  </si>
  <si>
    <t>Program 1 Other Exp (yes/no)</t>
  </si>
  <si>
    <t>Program 1 Other Reported Expenditures</t>
  </si>
  <si>
    <t>Program 2 Other Exp (yes/no)</t>
  </si>
  <si>
    <t>Program 2 Other Reported Expenditures</t>
  </si>
  <si>
    <t>Program 3 Other Exp (yes/no)</t>
  </si>
  <si>
    <t>Program 3 Other Reported Expenditures</t>
  </si>
  <si>
    <t>Program 4 Other Exp (yes/no)</t>
  </si>
  <si>
    <t>Program 4 Other Reported Expenditures</t>
  </si>
  <si>
    <t>Program 5 JJCPA Exp (yes/no)</t>
  </si>
  <si>
    <t>Program 5 JJCPA Reported Expenditures</t>
  </si>
  <si>
    <t>Program 5 Other Exp (yes/no)</t>
  </si>
  <si>
    <t>Program 5 Other Reported Expenditures</t>
  </si>
  <si>
    <t>Program 6 JJCPA Exp (yes/no)</t>
  </si>
  <si>
    <t>Program 6 JJCPA Reported Expenditures</t>
  </si>
  <si>
    <t>Program 6 Other Exp (yes/no)</t>
  </si>
  <si>
    <t>Program 6 Other Reported Expenditures</t>
  </si>
  <si>
    <t>Program 7 JJCPA Exp (yes/no)</t>
  </si>
  <si>
    <t>Program 7 JJCPA Reported Expenditures</t>
  </si>
  <si>
    <t>Program 7 Other Exp (yes/no)</t>
  </si>
  <si>
    <t>Program 7 Other Reported Expenditures</t>
  </si>
  <si>
    <t>Program 8 JJCPA Exp (yes/no)</t>
  </si>
  <si>
    <t>Program 8 JJCPA Reported Expenditures</t>
  </si>
  <si>
    <t>Program 8 Other Exp (yes/no)</t>
  </si>
  <si>
    <t>Program 8 Other Reported Expenditures</t>
  </si>
  <si>
    <t>Program 9 JJCPA Exp (yes/no)</t>
  </si>
  <si>
    <t>Program 9 JJCPA Reported Expenditures</t>
  </si>
  <si>
    <t>Program 9 Other Exp (yes/no)</t>
  </si>
  <si>
    <t>Program 9 Other Reported Expenditures</t>
  </si>
  <si>
    <t>Program 10 JJCPA Exp (yes/no)</t>
  </si>
  <si>
    <t>Program 10 JJCPA Reported Expenditures</t>
  </si>
  <si>
    <t>Program 10 Other Exp (yes/no)</t>
  </si>
  <si>
    <t>Program 10 Other Reported Expenditures</t>
  </si>
  <si>
    <t>Program 1</t>
  </si>
  <si>
    <t>Program 2</t>
  </si>
  <si>
    <t>Program 3</t>
  </si>
  <si>
    <t>Program 4</t>
  </si>
  <si>
    <t>Program 5</t>
  </si>
  <si>
    <t>Program 6</t>
  </si>
  <si>
    <t>Program 7</t>
  </si>
  <si>
    <t>Program 8</t>
  </si>
  <si>
    <t>Program 9</t>
  </si>
  <si>
    <t>Program 10</t>
  </si>
  <si>
    <t>Total 12/13 YOBG Expenditures</t>
  </si>
  <si>
    <t>Total 12/13 Allocations</t>
  </si>
  <si>
    <t>Total 6 Year YOBG Allocations</t>
  </si>
  <si>
    <t xml:space="preserve">Other </t>
  </si>
  <si>
    <t>Total 13/14 Allocations</t>
  </si>
  <si>
    <t>1. Program, Placement, Service, Strategy, or System Enhancement</t>
  </si>
  <si>
    <r>
      <t>Expenditure Category</t>
    </r>
    <r>
      <rPr>
        <sz val="8"/>
        <rFont val="Arial"/>
        <family val="2"/>
      </rPr>
      <t>:</t>
    </r>
  </si>
  <si>
    <t>2. Program, Placement, Service, Strategy, or System Enhancement</t>
  </si>
  <si>
    <t>3. Program, Placement, Service, Strategy, or System Enhancement</t>
  </si>
  <si>
    <t>4. Program, Placement, Service, Strategy, or System Enhancement</t>
  </si>
  <si>
    <r>
      <t>Administrative Overhead</t>
    </r>
    <r>
      <rPr>
        <sz val="10"/>
        <rFont val="Arial"/>
        <family val="2"/>
      </rPr>
      <t xml:space="preserve"> includes all costs associated with administration of the program, placement, service, strategy, and/or system enhancement being supported by JJCPA and/or YOBG funds.</t>
    </r>
  </si>
  <si>
    <t>Probation Department Disposition</t>
  </si>
  <si>
    <t>Male</t>
  </si>
  <si>
    <t>Female</t>
  </si>
  <si>
    <t>Race/Ethnic Group</t>
  </si>
  <si>
    <t>Hispanic</t>
  </si>
  <si>
    <t>White</t>
  </si>
  <si>
    <t>Black</t>
  </si>
  <si>
    <t>Asian</t>
  </si>
  <si>
    <t>Pacific Islander</t>
  </si>
  <si>
    <t>Indian</t>
  </si>
  <si>
    <t>Unknown</t>
  </si>
  <si>
    <t>Petition Type</t>
  </si>
  <si>
    <t>Court Disposition</t>
  </si>
  <si>
    <t>Wardship Placements</t>
  </si>
  <si>
    <t>TOTAL</t>
  </si>
  <si>
    <t>Subsequent Actions</t>
  </si>
  <si>
    <t>Sex (Male &amp; Female)</t>
  </si>
  <si>
    <t>FOR BSCC USE ONLY</t>
  </si>
  <si>
    <t xml:space="preserve">Juvenile Justice Crime Prevention Act - Youthful Offender Block Grant  </t>
  </si>
  <si>
    <t>B.  PRIMARY CONTACT</t>
  </si>
  <si>
    <r>
      <t xml:space="preserve">Professional Services </t>
    </r>
    <r>
      <rPr>
        <sz val="10"/>
        <rFont val="Arial"/>
        <family val="2"/>
      </rPr>
      <t>includes all services provided by individuals and agencies with whom the County contracts. The county is responsible for reimbursing every contracted individual/agency.</t>
    </r>
  </si>
  <si>
    <r>
      <t>Fixed Assets/Equipment</t>
    </r>
    <r>
      <rPr>
        <sz val="10"/>
        <rFont val="Arial"/>
        <family val="2"/>
      </rPr>
      <t xml:space="preserve"> includes items such as vehicles and equipment needed to implement and/or operate the program, placement, service, etc. (e.g., computer and other office equipment including furniture).</t>
    </r>
  </si>
  <si>
    <t>Other Capacity/Building Mtce Activities</t>
  </si>
  <si>
    <t>Start by indicating the name of the first program, placement, service, strategy, or system enhancement that was funded with JJCPA and/or YOBG funds last year. Next indicate the expenditure category using the drop down list provided in the Expenditure Category portion on each of the templates.</t>
  </si>
  <si>
    <t>Provide a summary description or analysis, based on available information, of how the programs, placements, services, strategies or system enhancements funded by JJCPA-YOBG have, or may have, contributed to, or influenced, the juvenile justice data trends identified in this report.</t>
  </si>
  <si>
    <t>Training/Education</t>
  </si>
  <si>
    <t>Life/Independent Living Skills</t>
  </si>
  <si>
    <r>
      <t xml:space="preserve">Use the space below the budget detail to provide a narrative description for each program, placement, service, strategy, and/or system enhancement that was funded last year.  </t>
    </r>
    <r>
      <rPr>
        <i/>
        <sz val="10"/>
        <rFont val="Arial"/>
        <family val="2"/>
      </rPr>
      <t xml:space="preserve">To do so, double click on the response box provided for this purpose. </t>
    </r>
    <r>
      <rPr>
        <sz val="10"/>
        <rFont val="Arial"/>
        <family val="2"/>
      </rPr>
      <t xml:space="preserve">   </t>
    </r>
    <r>
      <rPr>
        <b/>
        <u/>
        <sz val="10"/>
        <rFont val="Arial"/>
        <family val="2"/>
      </rPr>
      <t/>
    </r>
  </si>
  <si>
    <r>
      <t xml:space="preserve">Community-Based  Organizations   (CBO) </t>
    </r>
    <r>
      <rPr>
        <sz val="10"/>
        <rFont val="Arial"/>
        <family val="2"/>
      </rPr>
      <t xml:space="preserve"> includes  all  expenditures  for  services  received  from  CBO's.   </t>
    </r>
    <r>
      <rPr>
        <b/>
        <i/>
        <sz val="10"/>
        <rFont val="Arial"/>
        <family val="2"/>
      </rPr>
      <t>NOTE</t>
    </r>
    <r>
      <rPr>
        <sz val="10"/>
        <rFont val="Arial"/>
        <family val="2"/>
      </rPr>
      <t>:</t>
    </r>
    <r>
      <rPr>
        <i/>
        <sz val="10"/>
        <rFont val="Arial"/>
        <family val="2"/>
      </rPr>
      <t xml:space="preserve"> If you use JJCPA and/or YOBG funds to contract with a CBO, report that expenditure on this line item rather than on the Professional Services line item.</t>
    </r>
  </si>
  <si>
    <t>C.  SECONDARY CONTACT (OPTIONAL)</t>
  </si>
  <si>
    <t>COUNTYWIDE JUVENILE JUSTICE DATA for:</t>
  </si>
  <si>
    <t>In the blank boxes below, enter the data from your Report 1 received from DOJ as titled below:</t>
  </si>
  <si>
    <t>In the blank boxes below, enter the data from your Report 3 received from DOJ as titled below:</t>
  </si>
  <si>
    <t>ANALYSIS OF COUNTYWIDE TREND DATA for:</t>
  </si>
  <si>
    <t>(Optional)</t>
  </si>
  <si>
    <t>ACCOUNTING OF JJCPA-YOBG EXPENDITURES for:</t>
  </si>
  <si>
    <t>All Other Funds
(Optional)</t>
  </si>
  <si>
    <r>
      <t xml:space="preserve">Race/Ethnic Group  </t>
    </r>
    <r>
      <rPr>
        <b/>
        <u/>
        <sz val="11"/>
        <color rgb="FFFF0000"/>
        <rFont val="Arial"/>
        <family val="2"/>
      </rPr>
      <t xml:space="preserve"> (OPTIONAL)</t>
    </r>
  </si>
  <si>
    <r>
      <t xml:space="preserve">Race/Ethnic Group   </t>
    </r>
    <r>
      <rPr>
        <b/>
        <u/>
        <sz val="11"/>
        <color rgb="FFFF0000"/>
        <rFont val="Arial"/>
        <family val="2"/>
      </rPr>
      <t>(OPTIONAL)</t>
    </r>
  </si>
  <si>
    <r>
      <rPr>
        <b/>
        <u/>
        <sz val="11"/>
        <color theme="1"/>
        <rFont val="Arial"/>
        <family val="2"/>
      </rPr>
      <t xml:space="preserve">Sex  </t>
    </r>
    <r>
      <rPr>
        <b/>
        <u/>
        <sz val="11"/>
        <color rgb="FFFF0000"/>
        <rFont val="Arial"/>
        <family val="2"/>
      </rPr>
      <t xml:space="preserve"> (OPTIONAL)</t>
    </r>
  </si>
  <si>
    <t>strategy or system enhancement:</t>
  </si>
  <si>
    <t xml:space="preserve">Name of program, placement, service, </t>
  </si>
  <si>
    <t>5. Program, Placement, Service, Strategy, or System Enhancement</t>
  </si>
  <si>
    <t>6. Program, Placement, Service, Strategy, or System Enhancement</t>
  </si>
  <si>
    <t>7. Program, Placement, Service, Strategy, or System Enhancement</t>
  </si>
  <si>
    <t>8. Program, Placement, Service, Strategy, or System Enhancement</t>
  </si>
  <si>
    <t>9. Program, Placement, Service, Strategy, or System Enhancement</t>
  </si>
  <si>
    <t>10. Program, Placement, Service, Strategy, or System Enhancement</t>
  </si>
  <si>
    <t>Provide a description of the program, placement, service, strategy or system enhancement that was funded</t>
  </si>
  <si>
    <t>with JJCPA and/or YOBG funds in the preceding fiscal year.  For example, you might want to include</t>
  </si>
  <si>
    <t>information on the types of youth served, prevention services you provided, your accomplishments, any</t>
  </si>
  <si>
    <t>barriers encountered, and what specifically JJCPA and/or YOBG funds paid for.</t>
  </si>
  <si>
    <t>11. Program, Placement, Service, Strategy, or System Enhancement</t>
  </si>
  <si>
    <t>12. Program, Placement, Service, Strategy, or System Enhancement</t>
  </si>
  <si>
    <t>13. Program, Placement, Service, Strategy, or System Enhancement</t>
  </si>
  <si>
    <t>14. Program, Placement, Service, Strategy, or System Enhancement</t>
  </si>
  <si>
    <t>15. Program, Placement, Service, Strategy, or System Enhancement</t>
  </si>
  <si>
    <t>Arrests</t>
  </si>
  <si>
    <t>Felony Arrests</t>
  </si>
  <si>
    <t>Misdemeanor Arrests</t>
  </si>
  <si>
    <t>Status Arrests</t>
  </si>
  <si>
    <r>
      <t xml:space="preserve">Gender   </t>
    </r>
    <r>
      <rPr>
        <b/>
        <u/>
        <sz val="11"/>
        <color rgb="FFFF0000"/>
        <rFont val="Arial"/>
        <family val="2"/>
      </rPr>
      <t>(OPTIONAL)</t>
    </r>
  </si>
  <si>
    <r>
      <t xml:space="preserve">Juvenile Court Dispositions Resulting From Petitions for Delinquesnt Acts, January 1 - December 31, 2016
</t>
    </r>
    <r>
      <rPr>
        <b/>
        <sz val="9"/>
        <color indexed="9"/>
        <rFont val="Arial"/>
        <family val="2"/>
      </rPr>
      <t>Age by Petition Type, Sex, Race/Ethnic Group, Defense Representation, Court Disposition and Wardship Placement</t>
    </r>
    <r>
      <rPr>
        <b/>
        <sz val="10"/>
        <color indexed="9"/>
        <rFont val="Arial"/>
        <family val="2"/>
      </rPr>
      <t xml:space="preserve">
</t>
    </r>
    <r>
      <rPr>
        <b/>
        <sz val="14"/>
        <color indexed="9"/>
        <rFont val="Arial"/>
        <family val="2"/>
      </rPr>
      <t>Report 3 TOTALS</t>
    </r>
  </si>
  <si>
    <r>
      <t xml:space="preserve">Referrals of Juveniles to Probation Departments for Delinquent Acts, January 1 - December 31, 2016
Age by Referral Type, Gender, Race/Ethnic Group, Referral Source, Detention, Prosecutor Action, and Probation Department Disposition
</t>
    </r>
    <r>
      <rPr>
        <b/>
        <sz val="14"/>
        <color indexed="9"/>
        <rFont val="Arial"/>
        <family val="2"/>
      </rPr>
      <t>Report 1 TOTALS</t>
    </r>
  </si>
  <si>
    <r>
      <t xml:space="preserve">In the blank boxes below, enter the data from your Juvenile Arrest Report received from BSCC as titled below:
</t>
    </r>
    <r>
      <rPr>
        <b/>
        <sz val="11"/>
        <color theme="0"/>
        <rFont val="Arial"/>
        <family val="2"/>
      </rPr>
      <t xml:space="preserve">Juvenile Arrests by County, Race/Ethnic Group and Sex, 2016
</t>
    </r>
    <r>
      <rPr>
        <b/>
        <sz val="14"/>
        <color theme="0"/>
        <rFont val="Arial"/>
        <family val="2"/>
      </rPr>
      <t>TOTALS</t>
    </r>
  </si>
  <si>
    <t>16. Program, Placement, Service, Strategy, or System Enhancement</t>
  </si>
  <si>
    <t>17. Program, Placement, Service, Strategy, or System Enhancement</t>
  </si>
  <si>
    <t>18. Program, Placement, Service, Strategy, or System Enhancement</t>
  </si>
  <si>
    <t>19. Program, Placement, Service, Strategy, or System Enhancement</t>
  </si>
  <si>
    <t>20. Program, Placement, Service, Strategy, or System Enhancement</t>
  </si>
  <si>
    <t>Arrest data by county can be found at:</t>
  </si>
  <si>
    <t>Government Code Section 30061(b)(4)(C)(iv) &amp; WIC Section 1961(c)(3)</t>
  </si>
  <si>
    <t>Informal Probation</t>
  </si>
  <si>
    <t>Diversions</t>
  </si>
  <si>
    <t>Petitions Filed</t>
  </si>
  <si>
    <t xml:space="preserve">Please use this space to explain any exceptions and/or anomalies in the data reported above: </t>
  </si>
  <si>
    <t>New</t>
  </si>
  <si>
    <t>Subsequent</t>
  </si>
  <si>
    <t>Non-Ward Probation</t>
  </si>
  <si>
    <t>Wardship Probation</t>
  </si>
  <si>
    <t>Diversion</t>
  </si>
  <si>
    <t>Deferred Entry of Judgement</t>
  </si>
  <si>
    <t>Own/Relative's Home</t>
  </si>
  <si>
    <t>Non-Secure County Facility</t>
  </si>
  <si>
    <t>Secure County Facility</t>
  </si>
  <si>
    <t>Other Public Facility</t>
  </si>
  <si>
    <t>Technical Violations</t>
  </si>
  <si>
    <r>
      <t>California Youth Authority</t>
    </r>
    <r>
      <rPr>
        <b/>
        <sz val="12"/>
        <rFont val="Arial"/>
        <family val="2"/>
      </rPr>
      <t>*</t>
    </r>
  </si>
  <si>
    <r>
      <rPr>
        <b/>
        <sz val="12"/>
        <rFont val="Arial"/>
        <family val="2"/>
      </rPr>
      <t>*</t>
    </r>
    <r>
      <rPr>
        <b/>
        <sz val="9"/>
        <rFont val="Arial"/>
        <family val="2"/>
      </rPr>
      <t xml:space="preserve"> The JCPSS reports show "California Youth Authority," however it is now called the "Division of Juvenile Justice."</t>
    </r>
  </si>
  <si>
    <t>21. Program, Placement, Service, Strategy, or System Enhancement</t>
  </si>
  <si>
    <t>22. Program, Placement, Service, Strategy, or System Enhancement</t>
  </si>
  <si>
    <t>23. Program, Placement, Service, Strategy, or System Enhancement</t>
  </si>
  <si>
    <t>24. Program, Placement, Service, Strategy, or System Enhancement</t>
  </si>
  <si>
    <t>25. Program, Placement, Service, Strategy, or System Enhancement</t>
  </si>
  <si>
    <t>26. Program, Placement, Service, Strategy, or System Enhancement</t>
  </si>
  <si>
    <t>27. Program, Placement, Service, Strategy, or System Enhancement</t>
  </si>
  <si>
    <t>28. Program, Placement, Service, Strategy, or System Enhancement</t>
  </si>
  <si>
    <t>29. Program, Placement, Service, Strategy, or System Enhancement</t>
  </si>
  <si>
    <t>30. Program, Placement, Service, Strategy, or System Enhancement</t>
  </si>
  <si>
    <t>strategy or system enhancement (Required):</t>
  </si>
  <si>
    <r>
      <t>Expenditure Category (Required)</t>
    </r>
    <r>
      <rPr>
        <sz val="8"/>
        <rFont val="Arial"/>
        <family val="2"/>
      </rPr>
      <t>:</t>
    </r>
  </si>
  <si>
    <t>Use the template(s) below to report the programs, placements, services, strategies, and/or system enhancements you funded in the preceding fiscal year. Use a separate template for each program, placement, service, strategy, or system enhancement that was supported with JJCPA and/or YOBG funds.  If you need more templates than provided, click on the "Add'l EXPENDITURE DETAIL Forms" tab.</t>
  </si>
  <si>
    <t>For each program, placement, service, strategy, or system enhancement, record actual expenditure details for the preceding fiscal year. Expenditures will be categorized as coming from one or more of three funding sources - JJCPA funds, YOBG funds, and other funding sources (local, federal, other state, private, etc.). Be sure to report all JJCPA and YOBG expenditures for the preceding fiscal year irrespective of the fiscal year during which the funds were allocated. Definitions of the budget line items are provided on the next page.
And, as previously stated, we strongly suggest you use Spell Check before returning to the BSCC.</t>
  </si>
  <si>
    <r>
      <t xml:space="preserve">And, as previously stated, we </t>
    </r>
    <r>
      <rPr>
        <b/>
        <sz val="10"/>
        <rFont val="Arial"/>
        <family val="2"/>
      </rPr>
      <t>strongly suggest you use Spell Check</t>
    </r>
    <r>
      <rPr>
        <sz val="10"/>
        <rFont val="Arial"/>
        <family val="2"/>
      </rPr>
      <t xml:space="preserve"> before returning to the BSCC.</t>
    </r>
  </si>
  <si>
    <t>Other Private Facility</t>
  </si>
  <si>
    <r>
      <t>Once the report is complete, attach the file to an email and send it to</t>
    </r>
    <r>
      <rPr>
        <i/>
        <sz val="10"/>
        <rFont val="Arial"/>
        <family val="2"/>
      </rPr>
      <t>:</t>
    </r>
    <r>
      <rPr>
        <sz val="10"/>
        <rFont val="Arial"/>
        <family val="2"/>
      </rPr>
      <t xml:space="preserve"> </t>
    </r>
    <r>
      <rPr>
        <b/>
        <sz val="10"/>
        <rFont val="Arial"/>
        <family val="2"/>
      </rPr>
      <t>JJCPA-YOBG@bscc.ca.gov</t>
    </r>
    <r>
      <rPr>
        <sz val="10"/>
        <rFont val="Arial"/>
        <family val="2"/>
      </rPr>
      <t xml:space="preserve">.   All reports will be posted to the BSCC website.  We encourage you to review your report for accuracy before sending it to the BSCC.  Please do </t>
    </r>
    <r>
      <rPr>
        <b/>
        <sz val="10"/>
        <rFont val="Arial"/>
        <family val="2"/>
      </rPr>
      <t>NOT</t>
    </r>
    <r>
      <rPr>
        <sz val="10"/>
        <rFont val="Arial"/>
        <family val="2"/>
      </rPr>
      <t xml:space="preserve"> change the report form to a PDF document.</t>
    </r>
  </si>
  <si>
    <t xml:space="preserve">Repeat this process  as many times as needed to fully account for all programs, placements, services, strategies, and systems enhancements that were funded with JJCPA and/or YOBG during the last fiscal year. Keep in mind that this full report will be posted on the BSCC website in accordance with state law. </t>
  </si>
  <si>
    <t xml:space="preserve">https://openjustice.doj.ca.gov/exploration/crime-statistics/arrests </t>
  </si>
  <si>
    <t>Due Date:  October 1, 2021</t>
  </si>
  <si>
    <t xml:space="preserve">On or before October 1, 2021, each county is required to submit to the Board of State &amp; Community Corrections (BSCC) a report on its Juvenile Justice Crime Prevention Act (JJCPA) and Youthful Offender Block Grant (YOBG) programs during the preceding year. For JJCPA this requirement can be found at Government Code (GC) Section 30061(b)(4)(C) and for YOBG it can be found at Welfare &amp; Institutions Code Section (WIC) 1961(c). These code sections both call for a consolidated report format that includes a description of the programs and other activities supported by JJCPA and/or YOBG funds, an accounting of all JJCPA and YOBG expenditures during the prior fiscal year, and countywide juvenile justice trend data. </t>
  </si>
  <si>
    <t>Referrals of Juveniles to Probation Departments for Delinquent Acts, January 1 - December 31, 2020
Age by Referral Type, Gender, Race/Ethnic Group, Referral Source, Detention, Prosecutor Action, and Probation Department Disposition Report 1</t>
  </si>
  <si>
    <r>
      <t xml:space="preserve">Juvenile Court Dispositions Resulting From Petitions for Delinquent Acts, January 1 - December 31, 2020
</t>
    </r>
    <r>
      <rPr>
        <b/>
        <sz val="9"/>
        <color indexed="9"/>
        <rFont val="Arial"/>
        <family val="2"/>
      </rPr>
      <t>Age by Petition Type, Sex, Race/Ethnic Group, Defense Representation, Court Disposition and Wardship Placement</t>
    </r>
    <r>
      <rPr>
        <b/>
        <sz val="10"/>
        <color indexed="9"/>
        <rFont val="Arial"/>
        <family val="2"/>
      </rPr>
      <t xml:space="preserve">
Report 3</t>
    </r>
  </si>
  <si>
    <t>In the blank boxes below, enter your juvenile arrest data from last year (2020).</t>
  </si>
  <si>
    <r>
      <t>The report consists of several worksheets. Each worksheet is accessed by clicking on the labeled tabs below. (You are currently in the worksheet titled "</t>
    </r>
    <r>
      <rPr>
        <b/>
        <sz val="10"/>
        <rFont val="Arial"/>
        <family val="2"/>
      </rPr>
      <t>CONTACT INFORMATION</t>
    </r>
    <r>
      <rPr>
        <sz val="10"/>
        <rFont val="Arial"/>
        <family val="2"/>
      </rPr>
      <t>".)  Complete the report by providing the information requested in each worksheet.
On the worksheet "</t>
    </r>
    <r>
      <rPr>
        <b/>
        <sz val="10"/>
        <rFont val="Arial"/>
        <family val="2"/>
      </rPr>
      <t>REPORT 1</t>
    </r>
    <r>
      <rPr>
        <sz val="10"/>
        <rFont val="Arial"/>
        <family val="2"/>
      </rPr>
      <t>," you will pull data directly from your Juvenile Court &amp; Probation Statistical System (JCPSS) Report 1 that you received from the California Department of Justice (DOJ) for 2020.  Similarly, for the worksheet labeled "</t>
    </r>
    <r>
      <rPr>
        <b/>
        <sz val="10"/>
        <rFont val="Arial"/>
        <family val="2"/>
      </rPr>
      <t>REPORT 3</t>
    </r>
    <r>
      <rPr>
        <sz val="10"/>
        <rFont val="Arial"/>
        <family val="2"/>
      </rPr>
      <t>," you will pull information directly from your 2020 JCPSS Report 3. On the worksheet "</t>
    </r>
    <r>
      <rPr>
        <b/>
        <sz val="10"/>
        <rFont val="Arial"/>
        <family val="2"/>
      </rPr>
      <t>ARREST DATA</t>
    </r>
    <r>
      <rPr>
        <sz val="10"/>
        <rFont val="Arial"/>
        <family val="2"/>
      </rPr>
      <t>," you will obtain data from the DOJ's Open Justice public website. 
On the worksheet "</t>
    </r>
    <r>
      <rPr>
        <b/>
        <sz val="10"/>
        <rFont val="Arial"/>
        <family val="2"/>
      </rPr>
      <t>TREND ANALYSIS</t>
    </r>
    <r>
      <rPr>
        <sz val="10"/>
        <rFont val="Arial"/>
        <family val="2"/>
      </rPr>
      <t>," you will describe how the programs and activities funded by JJCPA-YOBG have, or may have, contributed to the trends seen in the data included in REPORT 1, REPORT 3, and ARREST DATA.
On the "</t>
    </r>
    <r>
      <rPr>
        <b/>
        <sz val="10"/>
        <rFont val="Arial"/>
        <family val="2"/>
      </rPr>
      <t>EXPENTITURE DETAILS</t>
    </r>
    <r>
      <rPr>
        <sz val="10"/>
        <rFont val="Arial"/>
        <family val="2"/>
      </rPr>
      <t xml:space="preserve">" worksheet, you are required to provide a detailed accounting of actual expenditures for each program, placement, service, strategy, or system enhancement that was funded by JJCPA and/or YOBG during the preceding fiscal year.  This worksheet is also where you are asked to provide a description of each item funded. </t>
    </r>
  </si>
  <si>
    <t>2020 Expenditure and Data Report</t>
  </si>
  <si>
    <r>
      <rPr>
        <sz val="10"/>
        <rFont val="Arial"/>
        <family val="2"/>
      </rPr>
      <t>Prior to submitting this report save the file using the following naming convention:</t>
    </r>
    <r>
      <rPr>
        <b/>
        <sz val="10"/>
        <rFont val="Arial"/>
        <family val="2"/>
      </rPr>
      <t xml:space="preserve"> "(County Name) 2021 JJCPA-YOBG Report." </t>
    </r>
    <r>
      <rPr>
        <sz val="10"/>
        <rFont val="Arial"/>
        <family val="2"/>
      </rPr>
      <t>For example, Sacramento County would name its file "Sacramento 2021 JJCPA-YOBG Report".</t>
    </r>
  </si>
  <si>
    <t>31. Program, Placement, Service, Strategy, or System Enhancement</t>
  </si>
  <si>
    <t>Marcus Dawal</t>
  </si>
  <si>
    <t>Interim Chief Probation Officer</t>
  </si>
  <si>
    <t>510-268-7233</t>
  </si>
  <si>
    <t>mdawal@acgov.org</t>
  </si>
  <si>
    <t>Brian Ford</t>
  </si>
  <si>
    <t xml:space="preserve">Assistant Chief </t>
  </si>
  <si>
    <t>510-268-7228</t>
  </si>
  <si>
    <t>brford@acgov.org</t>
  </si>
  <si>
    <t>Juvenile Community Supervision</t>
  </si>
  <si>
    <t>Juvenile Community Supervision for Intensive Probation</t>
  </si>
  <si>
    <t>YOBG - The Transition Center (Re-entry or Aftercare Services)</t>
  </si>
  <si>
    <t>Camp Sweeney</t>
  </si>
  <si>
    <t>Summer Enrichment Academy</t>
  </si>
  <si>
    <t>Breaking Barriers Program</t>
  </si>
  <si>
    <t>Centerforce</t>
  </si>
  <si>
    <t>City of Fremont</t>
  </si>
  <si>
    <t>Community &amp; Youth Outreach</t>
  </si>
  <si>
    <t>Catholic Charities of the East Bay</t>
  </si>
  <si>
    <t>Catholic Charities of the East Bay has helped people facing difficult circumstances so that they can move forward in life with greater independence.  Catholic Charities provides a 10-week program with youth that combines restorative practices with cognitive behavioral therapy.  The format is eight 2-hour weekly meetings and two Saturday 4-6-hour workshops that focus on healthy communities and repairing harm. The groups consist of 10-15 participants beginning with two groups for the first few cycles.  The groups meet at Sacred Heart Church in Oakland on Wednesdays and Thursdays. The Saturday workshops are a partnership with the School Based Health Alliance and other community presenters who want to support young people.</t>
  </si>
  <si>
    <t>Fresh Lifelines for Youth (FLY)</t>
  </si>
  <si>
    <t>Fresh Lifelines for Youth’s (FLY) mission is to prevent juvenile crime and incarceration through legal education, leadership training, and one-on-one mentoring.  FLY provides cognitive behavior groups to Hayward youth through its Law Program, an innovative law-related education and life skills training program, taught in weekly class sessions for 12 weeks by volunteers and FLY staff at alternative/continuation schools and community-based sites.  FLY’s nationally recognized curriculum, sponsored by the OJJDP’s law-related educational research, is an interactive and evidence-informed program that uses role-plays, debates, mock trials to capture youth interest, and lessons about the law and consequences of crime.</t>
  </si>
  <si>
    <t>Youth Uprising</t>
  </si>
  <si>
    <t xml:space="preserve">Youth UpRising (YU) is a multi-pronged community transformation hub located in East Oakland. YU’s mission is to transform East Oakland into a healthy and economically robust community by developing the leadership of youth and young adults and improving the systems that impact them. YU provides integrated services to youth and young adults, ages 13 to 24 years old through three core areas: Career &amp; Education (C&amp;E), Health &amp; Wellness (H&amp;W), and Arts &amp; Expression (A&amp;E). In addition to daily trauma-informed programming, YU operates a social enterprise, which provides opportunities for youth to receive robust sector-specific skills training in high-demand jobs like food and hospitality management, landscaping, and digital arts.  YU believes that through comprehensive programming and direct support from caring adults, youth can achieve greatness, develop greater social-emotional skills and tools, and therefore minimizing risky behaviors that are detrimental to their success. </t>
  </si>
  <si>
    <t>Cross-Aged Mentoring Program</t>
  </si>
  <si>
    <t>Midnight Basketball-JJCPA</t>
  </si>
  <si>
    <t xml:space="preserve">HOPE Psychotherapy </t>
  </si>
  <si>
    <t>Multidimensional Family Therapy (MDFT)</t>
  </si>
  <si>
    <t xml:space="preserve">Project Permanence Wraparound Program </t>
  </si>
  <si>
    <t>Intensive Case Management (ICM)</t>
  </si>
  <si>
    <t xml:space="preserve">TRAUMA INFORMED TRAINING FOR JUSTICE PROFESSIONALS </t>
  </si>
  <si>
    <t>ADOLESCENT BRAIN DEVELOPMENT</t>
  </si>
  <si>
    <t>Community Capacity Building</t>
  </si>
  <si>
    <t>Union City Youth &amp; Family Services</t>
  </si>
  <si>
    <t>BERKELEY YOUTH ALTERNATIVES</t>
  </si>
  <si>
    <t>CITY OF HAYWARD</t>
  </si>
  <si>
    <t>THE SOCIAL CHANGERY LLC</t>
  </si>
  <si>
    <t>IMPACT JUSTICE</t>
  </si>
  <si>
    <t>32. Program, Placement, Service, Strategy, or System Enhancement</t>
  </si>
  <si>
    <t>Internal Services Fund</t>
  </si>
  <si>
    <t>YOUTH ALIVE!</t>
  </si>
  <si>
    <t>Since 1991, as mentors, youth leaders, counselors, case managers, intervention specialists and violence interrupters, staff at Youth ALIVE! have worked to help violently wounded people heal themselves and their community. Their mission is to prevent violence and create young leaders. They believe that young people growing up and going to school in the city’s most violent neighborhoods, possess the power to change the city for the better. They meet their clients where they are, at home, in school, at the hospital bedsides of young shooting victims, on the streets of our most dangerous neighborhoods.  Their frontline staff is comprised of men and women who grew up in the communities they serve. Some are former victims, some former gang members. All are highly trained in the best practices of their profession. They bring not judgement, but only understanding, knowledge, and a path to greater peace for traumatized individuals and the city.  The primary goals along the way to achieving their mission are: to educate and train young leaders to create a more peaceful community, to interrupt the cycle of violence on the streets, to convince angry victims and their loved ones not to retaliate, to provide ongoing support to help the wounded and grieving get needed services and heal from their trauma, and to prevent low-income children from killing and injuring one another.</t>
  </si>
  <si>
    <t xml:space="preserve">Youth who score high on the YLS/CMI are also supervised within the Juvenile Community Supervision regional, risk and gender responsive supervision model.  These youth are offered enhanced program services for boys and girls, which integrates the work of Deputy Probation Officers, local law enforcement agencies and other youth-service agencies such as schools, recreation departments and community-based organizations.  
The Alameda County Probation Department is committed to preserving, strengthening, and assisting families within their communities.  Youth and families are provided with community-based services and interventions, as well as intensive supervision services to include monthly contact by the probation officer up to three times per month.  Deputy Probation Officers (DPO), supervised by Unit Supervisors, provide Intensive Probation Supervision for youth whose overall total risk level on the Youth Level Services/Case Management Inventory (YLS/CMI) is High or Very High and youth returning from DJJ commitment.  
DPOs work with youth and their families to develop case plans that target the risks identified in the YLS/CMI.  DPOs supervise youth within the County with caseloads of approximately 15-20 youth, to ensure increased contact. DPOs refer youth to mentoring groups and workshops on a variety of life skill topics (personal organization, personal care/hygiene, social etiquette, budgeting).  DPOs occasionally provide supervised pro-social activities including college tours and educational field trips.  The DPOs also collaborate with a Behavioral Health Clinician from our County’s Behavioral Health Care Services Agency, who assists in identifying youth with special mental health needs, connecting those youth with appropriate services in the community, and facilitating Multi-Disciplinary Team meetings with the youth, parents, mental health, school, probation, and community partners involved with the youth.  Each probation unit utilizes the behavioral health clinician who provides consultations, treatment plans and multi-disciplinary team (MDT’s) meetings.   </t>
  </si>
  <si>
    <t>Youth exiting camp transition into aftercare and receive services from the Juvenile Community Supervision for Intensive Supervision Unit which is funded under JJCPA and YOBG.  These services include mentoring groups and workshops on a variety of life skill topics (personal organization, personal care/hygiene, social etiquette, budgeting). The DPOs collaborate with a Behavioral Health Clinician from our County’s Behavioral Health Care Services Agency, who assists in identifying youth with special mental health needs, connecting those youth with appropriate services in the community, and facilitating Multi-Disciplinary Team meetings with the youth, parents, mental health, school, probation, and community partners involved with the youth.  Suitable youth released from Camp Sweeney are also allowed to participate in contractual services funded through the JJCPA Community Probation Program including multi-disciplinary teams.  Alameda County Probation also has a restorative justice program that holds youth accountable for their behavior and provides them with the support they need to move forward in a positive way.  DPOs actively engage families, communities, and systems to repair harm and prevent re-offending.  They also work to identify barriers to re-entry for individual youth, develop strategies to overcome barriers and, facilitate accountability strategies to encourage youth to take responsibility and make amends for harm caused.  Supervision and re-entry are designed to link work begun while the youth is detained and at Camp Sweeney with a seamless continuum of restorative justice care, out of custody.</t>
  </si>
  <si>
    <t xml:space="preserve">In April 2019, Alameda County Juvenile Field Services created Breaking Barriers, a voluntary program that is designed to support youth and families by decreasing financial stressors.  The purpose of the program is to allow parents the opportunity to better engage in services and activities with, and in support of their children. A primary focus is to help stabilize the home environment and support the overall success of the family. Breaking Barriers assists families with living expenses such as rent and groceries, transportation, and household items.  Families can also receive assistance with short-term child-care costs, sports registration fees or organized summer programs fees such as the Boys and Girls Club, as well as costs associated with obtaining birth certificates and state issued identification. Assistance is provided in 3-month increments during which time parents work with their children to engage in services and achieve other identified goals.
</t>
  </si>
  <si>
    <t>Centerforce is a leading reentry service provider, serving people with a history of incarceration, their families, and communities.  Centerforce provides evidence-based programs that exemplify reentry best practices.  Centerforce provides a broad range of services during incarceration, reentry, and after release.  The Centerforce Parenting Program (CPP) uses Centerforce’s established skills in parent coaching, case management and classes to reduce juvenile justice involvement and support healthy family relationships. Centerforce engages justice-involved and at-risk youth and their parents to improve parenting skills, increase youth-parent engagement and reduce youth delinquency.</t>
  </si>
  <si>
    <t>The City of Fremont offers trauma-focused Cognitive Behavioral Groups, equipping youth with tools to manage stress, change negative thinking and behavior patterns, and increase self-awareness.  The City of Fremont also offers Parent Classes &amp; Support Services to help parents learn positive and successful parenting strategies and help them identify and access the community resources they need to support their positive parenting.  The goal of the parenting classes is to help strengthen and empower families through the development of self-advocacy and parenting skills.</t>
  </si>
  <si>
    <t>Community &amp; Youth Outreach (CYO) provides services to prevent violence and support disadvantaged people to thrive. CYO provides outreach, mentoring, case management, and support to high-risk youth and young adults in the Bay Area.  CYO provides weekly culturally relevant, trauma informed, Cognitive Behavioral Therapy (CBT) sessions to clients of various CYO programs which include young men and women who are criminal justice involved and at high risk of violence. Healthy, Wealthy, &amp; Wise (HWW), is a fourteen-week course, with a companion CBT journal, that addresses issues of decision-making, identity, overcoming pain and trauma, and life skills/financial literacy.  HWW supports people affected by incarceration and community violence to tap into their strengths, heal from trauma, refrain from violence, access needed services, and navigate support systems. HWW increases the capacity of CYO’s case managers and street outreach workers, nearly all formerly incarcerated, to provide trauma-informed support to clients returning from incarceration or at risk of engaging in violence.</t>
  </si>
  <si>
    <t>Since midnight basketball returned to Oakland in Summer 2018, the Alameda County Probation Department (ACPD) has been a proud sponsor and supporter of the league. The Oakland Midnight Basketball League (OMBL) is a violence-reduction and youth-development program designed to: 1) provide a safe activity for players and attendees during hours when shootings increase in Oakland; 2) connect players and attendees to needed resources and services in the community; and 3) foster positive relationships between players, their peers, and adult mentors. Each season, youth, and young adults ages 16-25 play on one of 12-16 teams over a period of eight weeks. Games take place between the hours of 9:00pm and 1:00am, and players are required to attend a life skills workshop for one hour before their game each night. Life skills workshops are intended to connect players to resources and opportunities that can directly benefit them outside the league, in areas such as employment, legal aid, and parenting. Players and spectators also receive a free meal each week provided by a lineup of food trucks.  Operation of the OMBL is a partnership between four public entities: The Alameda County Probation Department, the Oakland Safety Impact Table, the Oakland Police Activities League, and Oakland Unite, a division within the City of Oakland’s Human Services Department. The Alameda County Probation Department is a primary funder of the league and recruit youth on probation to play in the league. The Oakland Safety Impact Table, a group of representatives from public and private entities who have the goal of increasing safety in Oakland, is responsible for all fundraising, communication, evaluation, and purchasing activities. The Oakland Police Activities League hires and oversees league staff members, recruit players, develops team rosters and game schedules, coordinates referees, and oversees all game-day logistics. Lastly, Oakland Unite’s Violence Prevention Network Coordinator leads all player workshops, delivering content and inviting individuals from relevant organizations to speak each week. Oakland Unite’s violence interrupters also recruit individuals for participation in the league.  Alameda County Probation was unable to participate in this program during FY 2021 due to the Covid-19 pandemic.  The program has resumed in FY2022.</t>
  </si>
  <si>
    <t>HOPE Program is a Northern California outpatient mental health agency specializing in general psychotherapy and CASOMB-certified specific treatment for adult and adolescent clients. HOPE provides evidence-based sex offender treatment for Alameda County youth.  The Program offers both individual and group psychotherapy as well as support groups. The treatment plan for each client is tailored to address individual needs identified during the intake and initial evaluation process.  The goal of the program is to combine the latest research with practical psychotherapy techniques to deliver personalized, affordable care that leads to real results.  HOPE's unique clinical approach encompasses a multidisciplinary team that consists of Licensed Clinical Social Workers, Licensed Marriage and Family Therapists, Licensed Professional Clinical Counselors, and Licensed Psychologists.</t>
  </si>
  <si>
    <t xml:space="preserve">Multidimensional Family Therapy (MDFT) is an integrated, comprehensive, family-centered treatment for teen and young adult problems and disorders.  MDFT simultaneously addresses substance use, delinquency, antisocial and aggressive behaviors, mental health disorders, school, and family problems, and prevents out-of-home placement through a variety of therapeutic and behavioral supports for adolescents, parents, families, and communities.  Staff are trained to assess for history of trauma or any chronic traumatic experiences. They are also trained to respond to youth and families in a manner that considers the potential, if not evident, trauma histories to prevent re-traumatization, while also creating and increasing the sense of safety and therapeutic alliance.  MDFT serves youth on probation aged 11-19 years old with mental health and substance abuse symptoms. Priority is given to youth at-risk of out-of-home placement, youth that live with family (including kin/fictive kin) who can participate in weekly therapy activities, and youth and their families whose needs require intensive support including in-home therapy, case management, system navigation support.  The MDFT program duration is approximately six months and includes: Individual therapy, Substance use treatment, Family therapy, Parent one-on-one coaching, System navigation (school, probation, legal, etc.), and Brokerage/linkage to support services.  </t>
  </si>
  <si>
    <t>Project Permanence utilizes the Wraparound service delivery model to provide intensive youth-centered, family driven services.  The goals of wraparound are to improve the array of services and supports available to children, youth, and families involved in the child welfare and juvenile probation systems; engage families through a more individualized casework approach that emphasizes family involvement; increase child safety without an over dependence on out-of-home care; improve permanency outcomes; improve child and family well-being; and to decrease recidivism and delinquency for youth on probation.  Project Permanence serves Alameda County youth on probation who have serious mental health or behavioral issues.  The program provides family support, collateral supports, individual support to the referred youth, and linkages to resources. Interventions integral to the model are 1:1 supports directly to the youth, family support, monthly family team meetings, and intensive case management services.  In addition, Project Permanence also participates in intervention in courts, Alameda County Juvenile Justice Center, Mental Health Hospitals, family home, community outings, schools etc.</t>
  </si>
  <si>
    <t xml:space="preserve">Intensive Case Management (ICM) is provided by Seneca Family Agencies and focuses on providing case management services for youth with high mental health needs and emphasizes family engagement.  ICM is a team approach involving key stakeholders that include the Court, behavioral health care providers, probation officers and intensive case management services delivered by a community provider.  Services are aimed to reduce out-of- home placement and increase family engagement for this specific population. Probation officers and clinicians provide community support and services for youth and provide critical input to the Court on a weekly basis.  The treatment approach is similar to a wraparound model.  Multiple team members, including a clinician, parent partner and youth counselor work with a youth for a period of 12 to 18 months or until a youth is dismissed from probation.  Youth and their caregivers meet with team members multiple times per week.  Case management and referral linkage is a strong component of the service with the goal of stabilizing the youth in their home placement. </t>
  </si>
  <si>
    <t xml:space="preserve">Trauma Informed Training for Justice Professionals is a comprehensive full day training examining the impact of psychological trauma on the lives of young people involved in the juvenile justice system. The training is designed by the National Child Traumatic Stress Network for professionals in the helping professions and provides tangible skills for supporting adolescents who have been exposed to traumatic life events.  In 2020, Alameda County Probation staff were scheduled to participate in these training courses to enhance staff knowledge and skill.  Unfortunately, due to the Covid-19 pandemic, the course had to be postponed until next year. This training course will be funded by utilizing JJCPA funds in FY 2022.  </t>
  </si>
  <si>
    <t xml:space="preserve">The Adolescent Brain Development course aims to provide staff with an introductory understanding of how brain development during the adolescent stage contributes to adolescence as both a period of significant strengths (e.g., social behavior and creativity) and significant risks (e.g., substance use and risky behavior). Understanding changes occurring in the brain will help participants better understand and respond to adolescent thought processes and behaviors.  In 2020, Alameda County Probation staff was scheduled to attend this training course to enhance staff knowledge and skill.  Unfortunately, due to the Covid-19 pandemic, the course had to be postponed until next year.  This training course will be funded by utilizing JJCPA funds in FY 2022.  </t>
  </si>
  <si>
    <t>Union City Youth &amp; Family Services provides an innovative community school model. As the anchor organization for over 40 regional partners, they collaborate with educators, employers, public officials, social service providers, and community residents, to provide an integrated system of care, utilizing evidence-based practices, to support the community from cradle to retirement.  Union City Youth &amp; Family Services offers trauma-focused Cognitive Behavioral Groups, equipping youth with tools to manage stress, change negative thinking and behavior patterns, and increase self-awareness.  Cognitive Behavioral Groups equip youth with tools to manage stress, change negative thinking and behavior patterns, and increase self-awareness.  Union City Youth &amp; Family Services also offers financial coaching, employment readiness skills, and individualized life and career coaching.</t>
  </si>
  <si>
    <t>Berkeley Youth Alternatives (BYA) is a community-based organization. Their vision is to provide a secure and nurturing environment for all the children, youth, and families within the community. Their desire is to promote, to their fullest potential, the freedom to develop individual skills and visions of the world.
BYA's mission is to help children, youth, and their families address issues and problems via prevention by reaching youth before their problems become crises, and via intervention through the provision of support services to youth entangled in the juvenile justice system. BYA helps to build capacity within individuals to reach their innate potential.
BYA’s holistic services are designed to shift so-called “individuals at-risk” into “individuals with promise” by utilizing a continuum of care approach that emphasizes three core areas: Education, Health and Well-Being, and Economic Self-Sufficiency. To do this work, they create teams of diverse professionals from the fields of education, mental health, workforce development, and recreation that work collaboratively to meet the psycho-social, emotional, and economic needs of those most vulnerable in the community. They meet individuals where they are and build upon any gift, talent, or ability that they possess. BYA inspires them to reach their full potential with staff who act as coaches and mentors that help individuals captain their own ships.
BYA believes in diversity and in delivering holistic services in a culturally competent and appropriate manner to improve the lives of children, youth, and families. They work to give voice to the voiceless and to defend the poor.  They work to change the educational system, juvenile justice system, foster care system, and health care system to give individuals and their families’ opportunities to reach their full potential and to control their own lives and destinies. BYA's desire is to help children, youth, and families to enjoy their lives to the fullest while empowering the next generation and repairing the damage done to our multiple populations by the political, educational, and economic system. Ultimately, we assist those most vulnerable to live out their best lives.</t>
  </si>
  <si>
    <t xml:space="preserve">For 40 years, the Youth and Family Services Bureau (YFSB) has focused on helping families succeed at home, school and in the community. YFSB seeks to strengthen the Hayward community through creating opportunities for kids to grow up in healthy and safe neighborhoods and schools. The dedicated YFSB staff strives to reduce delinquency and crime through a range of services that address the specific needs of each family. When a child is getting into trouble, sometimes law enforcement is not the answer. Sometimes it is. The teamwork between the cops and counselors in YFSB allows for each family’s unique situation to be assessed. YFSB also offers a variety of prevention services that encourage youth to stay out of trouble and provide them with positive ways to engage with their peers and the community.
YFSB specifically provides, Diversion Counseling and Workshops that focus on personal accountability and character building for youth who have been arrested, Service Coordination and Case Management, Required Counseling and Education for Proposition 64 Marijuana Citations, Educational Advocacy and Alternatives to Suspension Programs, and Life Skills Program with education and career planning, financial coaching, legal issues for youth, and social media. 
</t>
  </si>
  <si>
    <t>The Social Changery strives to ensure all people, regardless of circumstance or background, have equitable opportunities for educational, health and economic success. Their goal is to advance the health, dignity, and rights of all people.  Their work goes beyond traditional social change programs and tactics. It is informed by principles of Human Centered Design, Social Determinants of Health, social movement models, community development, and behavior change frameworks. They are subject matter experts and people with lived experience. Their expertise in social change, trauma-informed behavioral health, and transformative justice provides a foundation though which all projects are comprehensively developed.  They consult and provide services in the following areas: Trauma-Informed Behavioral Health, Stigma and Discrimination Reduction, Peer Support Models, Prevention and Early Intervention, Justice, Equity, Diversity and Inclusion, Workforce Development &amp; Career Pathways, Youth Development, Community Development, and Movement &amp; Coalition Building.</t>
  </si>
  <si>
    <t>Positive Communications Practices</t>
  </si>
  <si>
    <t xml:space="preserve">Impact Justice is committed to fostering a more humane, responsive, and restorative system of justice in the nation. They confront mass incarceration, cruel and inhumane conditions, barriers to re-entry, and the failure to meet crime survivors’ needs.  They understand that the struggle for justice takes place in a context of historic, systemic, and pervasive racism. Impact Justice is committed to changing hearts and minds, behaviors, and structures.  Senate Bill 823 establishes a Juvenile Justice Realignment Block Grant Program to provide County-based custody, care, and supervision of youth who are realigned from the Department of Juvenile Justice (DJJ) or who would have otherwise been eligible for commitment to the division.  This is a promising and necessary change that will allow young people to remain closer to family and community.  However, it requires counties to carefully determine the best way to provide supervision and essential services to youth who are high risk/high need, have committed serious crimes, and who would have otherwise received services at a locked facility.  Impact Justice has been contracted to facilitate ACPD’s SB823 Committee and evaluate the process of realignment from DJJ to Alameda County.   </t>
  </si>
  <si>
    <t xml:space="preserve">Senate Bill 823 establishes a Juvenile Justice Realignment Block Grant Program to provide County-based custody, care, and supervision of youth who are realigned from the Department of Juvenile Justice (DJJ) or who would have otherwise been eligible for commitment to the division.  This is a promising and necessary change that will allow young people to remain closer to family and community.  However, it requires counties to carefully determine the best way to provide supervision and essential services to youth who are high risk/high need, have committed serious crimes, and who would have otherwise received services at a locked facility.  Positive Communications Practices (PCP) will enroll 12 young men under the supervision of ACPD who are currently in DJJ into their Rites of Passage DJJ program.  In collaboration with ACPD, PCP will work with these youth throughout the last 12 months of their incarceration to ready them for re-entry and will continue to support them for 6 months following their release to enable their successful reintegration into communities in Alameda County.    </t>
  </si>
  <si>
    <t>Raising Leadership Internship Program</t>
  </si>
  <si>
    <t xml:space="preserve">Through the Hayward Adult School, three teachers on special assignment will target students who are under the care and supervision of the ACPD Juvenile Field Services and have those who have been arrested for criminal offenses or referred to ACPD for truancy.  Students will participate in an eight-week workshop series and gain five school credits after completing the eight-week workshop series via Microsoft Teams.  Students in Alternative Education Schools will be eligible, and the County will refer youth on juvenile probation that are in high school.  The program goal is to ensure students gain the five full school credits.  In total 240 students will have the opportunity to attend the workshop series throughout FY 2021.  The Raising Leaders-Internship component will serve 120 students that have completed the Raising Leaders Workshop-Series and have been selected after a panel interview conducted jointly by program staff and Probation.  High Schools within Alameda County will write a letter of recommendation on behalf of their perspective students that have good standing with their school attendance and grades.  The panel will then select 60 students per cohort after the interview process/  The 120 internships will be broken down into two cohorts serving 60 youth per cohort.  ACPD is funding 70 of the 120 internships.  Alameda County Supervisor Richard Valle’s District 2 Youth Initiative is funding the remaining 50 internships out of the original 120 internships.         </t>
  </si>
  <si>
    <t xml:space="preserve">Cross-Age Mentoring Program (CAMP) is a school-based peer mentoring model through which high school students provide one-on-one mentoring to middle school students. The program is designed to foster high school students’ leadership and relational skills, interest in serving their communities, and academic connectedness while simultaneously promoting middle school mentees’ self-esteem, academic achievement, and connectedness to school, family, and the future.  In FY2021, $50,000 was spent on a consultant who was hired to write the curriculum for the program.  Unfortunately, ACPD was unable to start CAMP due to the Covid-19 pandemic.  The program is set to begin in FY 2022.        </t>
  </si>
  <si>
    <t>Alameda County Probation is interested in increasing the number and diversity of community-based providers that have the capacity to gain and successfully implement Department and County contracts, and have the skills to support, enhance, and/or improve the lives of probation involved and at-risk youth.  To achieve this, the County’s Community Capacity Fund will provide organizations with critical funding and technical assistance resources to strengthen their capacity.  CBOs will be provided with extensive training to build infrastructure that will enable them to successfully provide services and report on outcomes of those services.  Alameda County plans to utilize JJCPA/YOBG funding for this program and an RFP is in progress.</t>
  </si>
  <si>
    <t>JJCPA/YOBG programs in Alameda County specifically target youth under probation supervision in the community, those youth at imminent risk of removal from their homes, youth needing intensive supervision, and youth returning from the Division of Juvenile Justice.  ACPD also provides re-entry services to youth at our residential camp program and youth released from custody at Juvenile Hall.  By targeting these populations, ACPD has been committed to expanding and building support services aimed to improve system changes that impact at-promise youth, juvenile offenders, and their families.  In addition, JJCPA/YOBG has helped ACPD broaden our array of services to reduce the number of youth in out-of-home placements, to provide the least restrictive level of placement, when out-of-home placement is necessary; and promote family preservation and family reunification.  Alameda County Probation also has a restorative justice program that holds youth accountable for their behavior and provides them with the support they need to move forward in a positive way.  The program is evidence-based and provides education and training to incarcerated youth. It actively engages families, communities, and systems to repair harm and prevent re-offending. It identifies specific barriers to re-entry for individual youth and develops strategies to overcome barriers and, facilitates accountability strategies to encourage youth to take responsibility and make amends for harm caused.  The program is designed to link work begun while the youth is detained with a seamless continuum of restorative justice care, out of custody.    
Alameda County is the seventh most populous county in California with a population of approximately 1,510,271 residents. The County consists of 14 incorporated cities and several unincorporated communities. Oakland is the seat of County government and the largest city. The County is racially/ethnically diverse.  The youth population (age 10-17) of the County is approximately 149,857 or 10 percent of the total population.  Youth living in blighted low-income neighborhoods are generally considered to be at higher risk for involvement in delinquency and Alameda County is no exception.  Most of the youth referred to ACPD are from Oakland (40%) and Hayward (16%).  Similarly, youth on formal supervision are more likely to reside in Oakland and Hayward, 48% and 17% respectively.        
In 2020, there were 892 arrests by police in Alameda County.  This represents a 35% decline in arrests from the previous year when there were 1,377 arrests.  Of the 892 arrests reported by police in 2020, misdemeanor arrests accounted for 304 (34%), felony arrests for 542 (61%), and status arrests 46 (5%).  There were 951 referrals to the Alameda County Probation Department.  Of the 951 referrals, petitions were filed for 438 (46%), 462 (49%) cases were closed, 37 (4%) diversions were made, and the remaining 14 (1%) cases were transferred.  
The Alameda County Probation Department (ACPD) has a broad array of youth services resources that specifically target at-promise youth, juvenile probationers, and their families.  ACPD contracts with numerous agencies that work together as the Delinquency Prevention Network (DPN).  In 2020, the DPN served 871 youth.  In 2020, of the 438 petitions filed, 241 (55%) were new petitions (juveniles who were not currently supervised), while the remaining 197 (45%) were for subsequent petitions (juveniles who were currently being supervised).  Most petitions were filed against males 353 (81%), while the remaining petitions were filed against females 85 (19%).  The greatest percentage of petitions were filed against African American youth 293 (67%) compared to 110 (25%) for Latino youth, 16 (4%) for White youth, 10 (2%) for Asian and Pacific Islander youth, one (&lt;1%) for Indian youth, and 8 (2%) for youth with an unknown racial/ethnic group.  Most petitions filed resulted in a youth being placed on wardship probation, 337 (77%).  Of those youth placed on wardship probation, 213 (63%) were placed in their home or the home of a relative, 82 (24%) were placed in a private facility, 30 (9%) were placed in a secure county facility, 6 were placed at DJJ (2%), and 6 (2%) were placed in an "Other" facility.  Youth in Alameda County are assessed using the Youth Level of Service/Case Management Inventory (YLS/CMI), prior to disposition.  The YLS/CMI helps probation officers, youth workers, psychologists, and social workers identify the youth's major needs, strengths, barriers, and incentives; select the most appropriate goals for him or her; and produce an effective case management plan.  The results of the risk/needs assessment, in addition to other relevant facts, are considered in making a recommendation to the Court regarding the youth's appropriateness for services while remaining in the home, and commitment to Camp, or Placement.</t>
  </si>
  <si>
    <t xml:space="preserve">Juvenile Community Supervision is a regional based, risk and gender responsive supervision model.  The regional units offer enhanced program services for boys and girls, which integrates the work of Deputy Probation Officers, local law enforcement agencies and other youth-service agencies such as schools, recreation departments and community-based organizations.  These collaborative efforts enable a multi-disciplinary team to solve problems by 1) working with clients and their families, 2) monitoring compliance with probation conditions by increased contacts with random evening visits, and 3) ensuring minors pay restitution to victims and complete community service orders. Youth supervised by Deputy Probation Officers assigned to Juvenile Community Supervision participate in a broad range of pro-social activities, such as educational and recreational field trips and community service.  All youth receive program referrals individually tailored to their case plans.  Youth and their families receive concrete funds to address some of their immediate needs, including transportation, food, utilities, and housing.  
Probation staff are assigned to service specific geographic areas in partnership with community policing areas.  The goal of Juvenile Community Supervision is to marshal the resources of the client’s family, school, and neighborhood to optimize preventive services and eliminate behaviors leading to chronic delinquency.   
The Juvenile Community Supervision team assumes a non-traditional, proactive role to assist the client in developing the skills to become successful in meeting the expectations of the Court.  DPO offices serve the North, South, and Central regions of the county.   In each region, there is a DPO assigned to supervise a gender-specific caseload, which includes all female and male clients identified as having a clear concern for child sexual exploitation. During intake, all youth are screened using the Commercial Sexual Exploitation Identification Tool (CSE-IT) which is an evidence-based tool research has shown to be correlated with exploitation, or that were identified as potential areas of concern which may warrant targeted intervention services.  In addition, youth in Alameda County Probation are assessed using The Youth Level of Service/Case Management Inventory™ (YLS/CMI™), prior to disposition. The YLS/CMI is a risk/needs assessment and a case management tool combined into one convenient system.  The YLS/CMI helps probation officers, youth workers, psychologists, and social workers identify the youth’s major needs, strengths, barriers, and incentives; select the most appropriate goals for him or her; and produce an effective case management plan.  Youth with Low, Moderate, and High-Risk Results are referred to the Juvenile Community Supervision regional units where caseloads are approximately 15-20 per Deputy Probation Officer.  </t>
  </si>
  <si>
    <t xml:space="preserve">Established in 2009, the Transition Center enables providers to exchange critical information with parents and youth to improve coordination of Probation, Health/Mental Health and Education services during detention, upon release, and at post-release. The Probation Department utilizes a family focused trauma-informed approach to strengthening the capacity of the Transition Center to develop “warm hand-offs” and promote continuity of care.  At the Transition Center, a Deputy Probation Officer supervised by a Unit Supervisor, meets with youth returning from Detention and Placement and their parent/caregivers and provides an overview of the Probation Supervision process, terms, and conditions. A Specialist Clerk II provides youth, parent/caregivers administrative services, and information to help them navigate the Juvenile Justice Center and other community resources. With City of Oakland Measure Z and Measure Y Oakland Unite funding in 2019, the Transition Center has provided support to thousands of youth easing their transition to probation supervision, schools, health providers, and community-based organizations. The key to strengthening infrastructure at the Transition Center is improving its capacity to access youth support needs more effectively at intake and as they transition, link them to available benefits that enable their successful reentry.   The goal of the Transition Center is to marshal the resources of the minor’s family, school, and neighborhood to address those factors that will most likely result in recidivism, if not addressed.   Youth receive assessment-driven services, utilizing the Youth Level Services/ Case Management Inventory (YLS/CMI).  The DPOs work with youth and their families to develop case plans that will target the risks/needs identified in the YLS/CMI.  The Transition Center partners include Behavioral Health, Oakland Unified School District, Alameda County Office of Education, and Public Health.  In 2017, the TC strengthened processes related to its re-entry model to ensure youth and their families are provided and referred to resources that will support their success.  The TC team also meets regularly to discuss newly detained youth – to prepare a comprehensive transition plan from detention.  In the spirit of our “no wrong door” policy, all youth, regardless of their standing on probation or pending Court matters, are provided services.  This allows continuity of care in an environment where the access to services in the community can potentially make a difference in the lives of our youth and/or their families/caregivers.  Alameda County Probation also has a restorative justice program that holds youth accountable for their behavior and provides them with the support they need to move forward in a positive way.  The program is evidence-based and provides education and training to incarcerated youth. It actively engages families, communities, and systems to repair harm and prevent re-offending. It identifies specific barriers to re-entry for individual youth and develops strategies to overcome barriers and, facilitates accountability strategies to encourage youth to take responsibility and make amends for harm caused.  The program is designed to link work begun while the youth is detained and with a seamless continuum of restorative justice care, out of custody.    </t>
  </si>
  <si>
    <t xml:space="preserve">The Summer Enrichment Academy is a nine-week summer program designed for youth active on probation supervision between the ages of 14-17 and assessed moderate to high on the YLS/CMI risk assessment.  The program convenes three days each week and is designed to provide probation youth prosocial activities during the summer.  The curriculum and activities which are provided are intended to enhance participants skill base and address prevalent issues facing their age group. One day of the curriculum focuses on Making Proud Choices and utilizes cognitive behavioral curriculum to address healthy relationships, as well as sex education.  Another day focuses on a cognitive behavior curriculum which is facilitated by seven different community-based organizations and includes an array of topics to encourage youth to make better life choices.  In addition to the two identified days of course curriculum, each week a field trip is planned.  One of the past field trips included a trip to Sacramento, CA to visit the State Capital and Superintendent Tony Thurmond’s Office. Youth with perfect attendance for the summer were awarded with a Dell laptop to assist with school assignments.  The Summer Enrichment Program for FY 2021 was cancelled due to the Covid-19 pandemic.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</si>
</sst>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45" x14ac:knownFonts="1">
    <font>
      <sz val="10"/>
      <name val="Arial"/>
    </font>
    <font>
      <sz val="10"/>
      <name val="Arial"/>
      <family val="2"/>
    </font>
    <font>
      <sz val="8"/>
      <name val="Arial"/>
      <family val="2"/>
    </font>
    <font>
      <sz val="12"/>
      <color indexed="9"/>
      <name val="Arial"/>
      <family val="2"/>
    </font>
    <font>
      <b/>
      <sz val="11"/>
      <name val="Arial"/>
      <family val="2"/>
    </font>
    <font>
      <b/>
      <sz val="12"/>
      <name val="Arial"/>
      <family val="2"/>
    </font>
    <font>
      <b/>
      <sz val="10"/>
      <name val="Arial"/>
      <family val="2"/>
    </font>
    <font>
      <u/>
      <sz val="10"/>
      <color indexed="12"/>
      <name val="Arial"/>
      <family val="2"/>
    </font>
    <font>
      <u/>
      <sz val="10"/>
      <name val="Arial"/>
      <family val="2"/>
    </font>
    <font>
      <sz val="10"/>
      <name val="Arial"/>
      <family val="2"/>
    </font>
    <font>
      <b/>
      <sz val="8"/>
      <name val="Arial"/>
      <family val="2"/>
    </font>
    <font>
      <b/>
      <u/>
      <sz val="10"/>
      <name val="Arial"/>
      <family val="2"/>
    </font>
    <font>
      <b/>
      <sz val="11"/>
      <color indexed="9"/>
      <name val="Arial"/>
      <family val="2"/>
    </font>
    <font>
      <b/>
      <sz val="10"/>
      <color indexed="9"/>
      <name val="Arial"/>
      <family val="2"/>
    </font>
    <font>
      <sz val="8"/>
      <name val="Arial"/>
      <family val="2"/>
    </font>
    <font>
      <sz val="9"/>
      <name val="Arial"/>
      <family val="2"/>
    </font>
    <font>
      <b/>
      <sz val="9"/>
      <color indexed="9"/>
      <name val="Arial"/>
      <family val="2"/>
    </font>
    <font>
      <b/>
      <sz val="20"/>
      <name val="Arial"/>
      <family val="2"/>
    </font>
    <font>
      <b/>
      <i/>
      <sz val="20"/>
      <name val="Arial"/>
      <family val="2"/>
    </font>
    <font>
      <b/>
      <i/>
      <sz val="10"/>
      <name val="Arial"/>
      <family val="2"/>
    </font>
    <font>
      <b/>
      <sz val="11"/>
      <color theme="1"/>
      <name val="Calibri"/>
      <family val="2"/>
      <scheme val="minor"/>
    </font>
    <font>
      <b/>
      <u/>
      <sz val="11"/>
      <color theme="1"/>
      <name val="Calibri"/>
      <family val="2"/>
      <scheme val="minor"/>
    </font>
    <font>
      <sz val="11"/>
      <color rgb="FF92D050"/>
      <name val="Calibri"/>
      <family val="2"/>
      <scheme val="minor"/>
    </font>
    <font>
      <sz val="11"/>
      <name val="Calibri"/>
      <family val="2"/>
      <scheme val="minor"/>
    </font>
    <font>
      <b/>
      <sz val="11"/>
      <name val="Calibri"/>
      <family val="2"/>
      <scheme val="minor"/>
    </font>
    <font>
      <sz val="11"/>
      <name val="Arial"/>
      <family val="2"/>
    </font>
    <font>
      <i/>
      <sz val="10"/>
      <name val="Arial"/>
      <family val="2"/>
    </font>
    <font>
      <b/>
      <i/>
      <sz val="12"/>
      <name val="Arial"/>
      <family val="2"/>
    </font>
    <font>
      <u/>
      <sz val="11"/>
      <color indexed="9"/>
      <name val="Arial"/>
      <family val="2"/>
    </font>
    <font>
      <b/>
      <u/>
      <sz val="11"/>
      <name val="Arial"/>
      <family val="2"/>
    </font>
    <font>
      <b/>
      <i/>
      <sz val="11"/>
      <name val="Arial"/>
      <family val="2"/>
    </font>
    <font>
      <b/>
      <u/>
      <sz val="11"/>
      <color theme="1"/>
      <name val="Arial"/>
      <family val="2"/>
    </font>
    <font>
      <b/>
      <sz val="10"/>
      <color theme="1"/>
      <name val="Arial"/>
      <family val="2"/>
    </font>
    <font>
      <b/>
      <sz val="10"/>
      <color theme="0"/>
      <name val="Arial"/>
      <family val="2"/>
    </font>
    <font>
      <b/>
      <i/>
      <sz val="11"/>
      <color theme="0"/>
      <name val="Arial"/>
      <family val="2"/>
    </font>
    <font>
      <sz val="10"/>
      <color theme="1"/>
      <name val="Arial"/>
      <family val="2"/>
    </font>
    <font>
      <b/>
      <u/>
      <sz val="11"/>
      <color rgb="FFFF0000"/>
      <name val="Arial"/>
      <family val="2"/>
    </font>
    <font>
      <b/>
      <sz val="11"/>
      <color theme="1"/>
      <name val="Arial"/>
      <family val="2"/>
    </font>
    <font>
      <b/>
      <sz val="11"/>
      <color theme="0"/>
      <name val="Arial"/>
      <family val="2"/>
    </font>
    <font>
      <b/>
      <sz val="14"/>
      <color indexed="9"/>
      <name val="Arial"/>
      <family val="2"/>
    </font>
    <font>
      <b/>
      <sz val="14"/>
      <color theme="0"/>
      <name val="Arial"/>
      <family val="2"/>
    </font>
    <font>
      <b/>
      <sz val="11"/>
      <color rgb="FFFF0000"/>
      <name val="Arial"/>
      <family val="2"/>
    </font>
    <font>
      <b/>
      <sz val="9"/>
      <name val="Arial"/>
      <family val="2"/>
    </font>
    <font>
      <b/>
      <sz val="11"/>
      <color theme="8" tint="0.79998168889431442"/>
      <name val="Arial"/>
      <family val="2"/>
    </font>
    <font>
      <b/>
      <u/>
      <sz val="10"/>
      <color indexed="12"/>
      <name val="Arial"/>
      <family val="2"/>
    </font>
  </fonts>
  <fills count="14">
    <fill>
      <patternFill patternType="none"/>
    </fill>
    <fill>
      <patternFill patternType="gray125"/>
    </fill>
    <fill>
      <patternFill patternType="solid">
        <fgColor indexed="8"/>
        <bgColor indexed="64"/>
      </patternFill>
    </fill>
    <fill>
      <patternFill patternType="solid">
        <fgColor indexed="42"/>
        <bgColor indexed="64"/>
      </patternFill>
    </fill>
    <fill>
      <patternFill patternType="solid">
        <fgColor indexed="43"/>
        <bgColor indexed="64"/>
      </patternFill>
    </fill>
    <fill>
      <patternFill patternType="solid">
        <fgColor indexed="17"/>
        <bgColor indexed="64"/>
      </patternFill>
    </fill>
    <fill>
      <patternFill patternType="solid">
        <fgColor indexed="9"/>
        <bgColor indexed="64"/>
      </patternFill>
    </fill>
    <fill>
      <patternFill patternType="solid">
        <fgColor indexed="51"/>
        <bgColor indexed="64"/>
      </patternFill>
    </fill>
    <fill>
      <patternFill patternType="solid">
        <fgColor rgb="FFFFFF66"/>
        <bgColor indexed="64"/>
      </patternFill>
    </fill>
    <fill>
      <patternFill patternType="solid">
        <fgColor rgb="FF99FF99"/>
        <bgColor indexed="64"/>
      </patternFill>
    </fill>
    <fill>
      <patternFill patternType="solid">
        <fgColor rgb="FFFFFF99"/>
        <bgColor indexed="64"/>
      </patternFill>
    </fill>
    <fill>
      <patternFill patternType="solid">
        <fgColor theme="0"/>
        <bgColor indexed="64"/>
      </patternFill>
    </fill>
    <fill>
      <patternFill patternType="solid">
        <fgColor theme="0" tint="-0.14996795556505021"/>
        <bgColor indexed="64"/>
      </patternFill>
    </fill>
    <fill>
      <patternFill patternType="solid">
        <fgColor rgb="FF008000"/>
        <bgColor indexed="64"/>
      </patternFill>
    </fill>
  </fills>
  <borders count="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645">
    <xf numFmtId="0" fontId="0" fillId="0" borderId="0" xfId="0"/>
    <xf numFmtId="0" fontId="0" fillId="0" borderId="0" xfId="0" applyFill="1"/>
    <xf numFmtId="0" fontId="2" fillId="0" borderId="0" xfId="0" applyFont="1"/>
    <xf numFmtId="0" fontId="6" fillId="0" borderId="0" xfId="0" applyFont="1"/>
    <xf numFmtId="0" fontId="0" fillId="0" borderId="0" xfId="0" applyBorder="1"/>
    <xf numFmtId="0" fontId="0" fillId="2" borderId="0" xfId="0" applyFill="1"/>
    <xf numFmtId="0" fontId="0" fillId="0" borderId="1" xfId="0" applyBorder="1"/>
    <xf numFmtId="0" fontId="0" fillId="0" borderId="2" xfId="0" applyBorder="1"/>
    <xf numFmtId="0" fontId="0" fillId="0" borderId="3" xfId="0" applyBorder="1"/>
    <xf numFmtId="1" fontId="0" fillId="0" borderId="0" xfId="0" applyNumberFormat="1"/>
    <xf numFmtId="0" fontId="0" fillId="0" borderId="0" xfId="0" applyNumberFormat="1"/>
    <xf numFmtId="42" fontId="0" fillId="0" borderId="0" xfId="0" applyNumberFormat="1"/>
    <xf numFmtId="44" fontId="0" fillId="0" borderId="0" xfId="0" applyNumberFormat="1"/>
    <xf numFmtId="0" fontId="0" fillId="0" borderId="0" xfId="0" applyNumberFormat="1" applyProtection="1"/>
    <xf numFmtId="0" fontId="0" fillId="0" borderId="0" xfId="0" applyAlignment="1"/>
    <xf numFmtId="0" fontId="0" fillId="0" borderId="0" xfId="0" applyAlignment="1">
      <alignment horizontal="center"/>
    </xf>
    <xf numFmtId="0" fontId="0" fillId="3" borderId="0" xfId="0" applyFill="1" applyBorder="1"/>
    <xf numFmtId="0" fontId="0" fillId="3" borderId="4" xfId="0" applyFill="1" applyBorder="1"/>
    <xf numFmtId="0" fontId="0" fillId="3" borderId="1" xfId="0" applyFill="1" applyBorder="1"/>
    <xf numFmtId="0" fontId="0" fillId="3" borderId="2" xfId="0" applyFill="1" applyBorder="1"/>
    <xf numFmtId="0" fontId="0" fillId="3" borderId="3" xfId="0" applyFill="1" applyBorder="1"/>
    <xf numFmtId="0" fontId="9" fillId="3" borderId="5" xfId="0" applyFont="1" applyFill="1" applyBorder="1"/>
    <xf numFmtId="0" fontId="2" fillId="0" borderId="0" xfId="0" applyFont="1" applyAlignment="1">
      <alignment horizontal="left"/>
    </xf>
    <xf numFmtId="0" fontId="0" fillId="0" borderId="0" xfId="0" applyNumberFormat="1" applyAlignment="1">
      <alignment horizontal="left"/>
    </xf>
    <xf numFmtId="0" fontId="0" fillId="0" borderId="0" xfId="0" applyNumberFormat="1" applyProtection="1">
      <protection locked="0"/>
    </xf>
    <xf numFmtId="14" fontId="0" fillId="0" borderId="0" xfId="0" applyNumberFormat="1" applyAlignment="1">
      <alignment horizontal="left"/>
    </xf>
    <xf numFmtId="0" fontId="9" fillId="3" borderId="1" xfId="0" applyFont="1" applyFill="1" applyBorder="1"/>
    <xf numFmtId="0" fontId="15" fillId="3" borderId="2" xfId="0" applyFont="1" applyFill="1" applyBorder="1"/>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1" fontId="0" fillId="0" borderId="0" xfId="0" applyNumberFormat="1" applyFill="1"/>
    <xf numFmtId="0" fontId="0" fillId="0" borderId="5" xfId="0" applyBorder="1"/>
    <xf numFmtId="0" fontId="0" fillId="3" borderId="6" xfId="0" applyFill="1" applyBorder="1" applyProtection="1">
      <protection locked="0"/>
    </xf>
    <xf numFmtId="0" fontId="0" fillId="0" borderId="6" xfId="0" applyBorder="1" applyProtection="1">
      <protection locked="0"/>
    </xf>
    <xf numFmtId="0" fontId="0" fillId="0" borderId="6" xfId="0" applyBorder="1" applyAlignment="1" applyProtection="1">
      <alignment horizontal="center"/>
      <protection locked="0"/>
    </xf>
    <xf numFmtId="0" fontId="15" fillId="0" borderId="6" xfId="0" applyFont="1" applyBorder="1" applyAlignment="1" applyProtection="1">
      <alignment horizontal="center"/>
      <protection locked="0"/>
    </xf>
    <xf numFmtId="0" fontId="0" fillId="0" borderId="7" xfId="0" applyBorder="1" applyAlignment="1" applyProtection="1">
      <alignment horizontal="center"/>
      <protection locked="0"/>
    </xf>
    <xf numFmtId="0" fontId="0" fillId="0" borderId="0" xfId="0" applyBorder="1" applyAlignment="1" applyProtection="1">
      <alignment horizontal="left" vertical="top" wrapText="1"/>
    </xf>
    <xf numFmtId="0" fontId="0" fillId="0" borderId="0" xfId="0" applyProtection="1"/>
    <xf numFmtId="42" fontId="0" fillId="0" borderId="0" xfId="0" applyNumberFormat="1" applyAlignment="1"/>
    <xf numFmtId="0" fontId="9" fillId="0" borderId="0" xfId="0" applyFont="1"/>
    <xf numFmtId="0" fontId="0" fillId="0" borderId="0" xfId="0" applyAlignment="1">
      <alignment vertical="center"/>
    </xf>
    <xf numFmtId="0" fontId="17" fillId="0" borderId="0" xfId="0" applyFont="1"/>
    <xf numFmtId="0" fontId="0" fillId="0" borderId="0" xfId="0" applyFill="1" applyAlignment="1">
      <alignment vertical="center"/>
    </xf>
    <xf numFmtId="0" fontId="0" fillId="0" borderId="0" xfId="0" applyBorder="1" applyProtection="1"/>
    <xf numFmtId="0" fontId="0" fillId="0" borderId="0" xfId="0" applyAlignment="1" applyProtection="1">
      <alignment vertical="top" wrapText="1"/>
    </xf>
    <xf numFmtId="0" fontId="0" fillId="0" borderId="11" xfId="0" applyBorder="1" applyProtection="1"/>
    <xf numFmtId="0" fontId="10" fillId="0" borderId="11" xfId="0" applyFont="1" applyBorder="1" applyAlignment="1" applyProtection="1">
      <alignment horizontal="center"/>
    </xf>
    <xf numFmtId="0" fontId="10" fillId="0" borderId="11" xfId="0" applyFont="1" applyBorder="1" applyAlignment="1" applyProtection="1"/>
    <xf numFmtId="0" fontId="10" fillId="0" borderId="0" xfId="0" applyFont="1" applyBorder="1" applyAlignment="1" applyProtection="1"/>
    <xf numFmtId="0" fontId="2" fillId="0" borderId="0" xfId="0" applyFont="1" applyAlignment="1" applyProtection="1">
      <alignment horizontal="center"/>
    </xf>
    <xf numFmtId="0" fontId="2" fillId="0" borderId="0" xfId="0" applyFont="1" applyProtection="1"/>
    <xf numFmtId="0" fontId="10" fillId="0" borderId="11" xfId="0" applyFont="1" applyBorder="1" applyProtection="1"/>
    <xf numFmtId="0" fontId="10" fillId="0" borderId="0" xfId="0" applyFont="1" applyAlignment="1" applyProtection="1"/>
    <xf numFmtId="0" fontId="10" fillId="0" borderId="0" xfId="0" applyFont="1" applyProtection="1"/>
    <xf numFmtId="0" fontId="6" fillId="0" borderId="0" xfId="0" applyFont="1" applyBorder="1" applyAlignment="1" applyProtection="1">
      <alignment vertical="top" wrapText="1"/>
    </xf>
    <xf numFmtId="0" fontId="5" fillId="0" borderId="0" xfId="0" applyFont="1" applyFill="1" applyBorder="1" applyAlignment="1" applyProtection="1">
      <alignment horizontal="center"/>
    </xf>
    <xf numFmtId="0" fontId="0" fillId="0" borderId="12" xfId="0" applyBorder="1" applyProtection="1"/>
    <xf numFmtId="0" fontId="0" fillId="0" borderId="13" xfId="0" applyBorder="1" applyProtection="1"/>
    <xf numFmtId="0" fontId="0" fillId="0" borderId="1" xfId="0" applyBorder="1" applyProtection="1"/>
    <xf numFmtId="0" fontId="0" fillId="0" borderId="2" xfId="0" applyBorder="1" applyProtection="1"/>
    <xf numFmtId="0" fontId="0" fillId="0" borderId="3" xfId="0" applyBorder="1" applyProtection="1"/>
    <xf numFmtId="0" fontId="0" fillId="5" borderId="0" xfId="0" applyFill="1" applyBorder="1" applyAlignment="1" applyProtection="1">
      <alignment horizontal="left"/>
    </xf>
    <xf numFmtId="0" fontId="0" fillId="5" borderId="4" xfId="0" applyFill="1" applyBorder="1" applyAlignment="1" applyProtection="1">
      <alignment horizontal="left"/>
    </xf>
    <xf numFmtId="0" fontId="0" fillId="5" borderId="13" xfId="0" applyFill="1" applyBorder="1" applyAlignment="1" applyProtection="1">
      <alignment horizontal="left"/>
    </xf>
    <xf numFmtId="0" fontId="0" fillId="5" borderId="14" xfId="0" applyFill="1" applyBorder="1" applyAlignment="1" applyProtection="1">
      <alignment horizontal="left"/>
    </xf>
    <xf numFmtId="0" fontId="13" fillId="5" borderId="10" xfId="0" applyFont="1" applyFill="1" applyBorder="1" applyAlignment="1" applyProtection="1"/>
    <xf numFmtId="0" fontId="13" fillId="5" borderId="8" xfId="0" applyFont="1" applyFill="1" applyBorder="1" applyAlignment="1" applyProtection="1"/>
    <xf numFmtId="0" fontId="13" fillId="5" borderId="9" xfId="0" applyFont="1" applyFill="1" applyBorder="1" applyAlignment="1" applyProtection="1"/>
    <xf numFmtId="0" fontId="0" fillId="0" borderId="0" xfId="0" applyNumberFormat="1" applyBorder="1" applyAlignment="1" applyProtection="1">
      <alignment horizontal="left" vertical="top" wrapText="1"/>
    </xf>
    <xf numFmtId="0" fontId="12" fillId="0" borderId="0" xfId="0" applyFont="1" applyFill="1" applyBorder="1" applyAlignment="1" applyProtection="1">
      <alignment horizontal="center" vertical="center" wrapText="1"/>
    </xf>
    <xf numFmtId="0" fontId="0" fillId="0" borderId="0" xfId="0" applyAlignment="1" applyProtection="1">
      <alignment vertical="top"/>
    </xf>
    <xf numFmtId="0" fontId="22" fillId="0" borderId="0" xfId="0" applyFont="1" applyProtection="1"/>
    <xf numFmtId="0" fontId="0" fillId="0" borderId="0" xfId="0" applyBorder="1" applyAlignment="1" applyProtection="1">
      <alignment vertical="top" wrapText="1"/>
    </xf>
    <xf numFmtId="0" fontId="0" fillId="0" borderId="0" xfId="0" applyAlignment="1" applyProtection="1">
      <alignment horizontal="right"/>
    </xf>
    <xf numFmtId="0" fontId="0" fillId="0" borderId="5" xfId="0" applyFill="1" applyBorder="1" applyAlignment="1" applyProtection="1">
      <alignment horizontal="center"/>
    </xf>
    <xf numFmtId="0" fontId="0" fillId="0" borderId="0" xfId="0" applyNumberFormat="1" applyBorder="1" applyAlignment="1" applyProtection="1">
      <alignment horizontal="justify" vertical="top" wrapText="1"/>
    </xf>
    <xf numFmtId="0" fontId="13" fillId="0" borderId="5" xfId="0" applyFont="1" applyFill="1" applyBorder="1" applyAlignment="1" applyProtection="1">
      <alignment horizontal="left"/>
    </xf>
    <xf numFmtId="0" fontId="13" fillId="0" borderId="0" xfId="0" applyFont="1" applyFill="1" applyBorder="1" applyAlignment="1" applyProtection="1">
      <alignment horizontal="left"/>
    </xf>
    <xf numFmtId="0" fontId="13" fillId="0" borderId="2" xfId="0" applyFont="1" applyFill="1" applyBorder="1" applyAlignment="1" applyProtection="1">
      <alignment horizontal="left"/>
    </xf>
    <xf numFmtId="0" fontId="13" fillId="0" borderId="3" xfId="0" applyFont="1" applyFill="1" applyBorder="1" applyAlignment="1" applyProtection="1">
      <alignment horizontal="left"/>
    </xf>
    <xf numFmtId="0" fontId="0" fillId="0" borderId="0" xfId="0" applyFill="1" applyBorder="1" applyAlignment="1" applyProtection="1">
      <alignment horizontal="center"/>
    </xf>
    <xf numFmtId="0" fontId="0" fillId="0" borderId="0" xfId="0" applyFill="1" applyBorder="1" applyAlignment="1" applyProtection="1">
      <alignment horizontal="left"/>
    </xf>
    <xf numFmtId="0" fontId="0" fillId="0" borderId="4" xfId="0" applyFill="1" applyBorder="1" applyAlignment="1" applyProtection="1">
      <alignment horizontal="left"/>
    </xf>
    <xf numFmtId="0" fontId="3" fillId="5" borderId="2" xfId="0" applyFont="1" applyFill="1" applyBorder="1" applyAlignment="1" applyProtection="1"/>
    <xf numFmtId="0" fontId="3" fillId="5" borderId="3" xfId="0" applyFont="1" applyFill="1" applyBorder="1" applyAlignment="1" applyProtection="1"/>
    <xf numFmtId="0" fontId="3" fillId="5" borderId="0" xfId="0" applyFont="1" applyFill="1" applyBorder="1" applyAlignment="1" applyProtection="1"/>
    <xf numFmtId="0" fontId="3" fillId="5" borderId="4" xfId="0" applyFont="1" applyFill="1" applyBorder="1" applyAlignment="1" applyProtection="1"/>
    <xf numFmtId="0" fontId="13" fillId="0" borderId="5" xfId="0"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wrapText="1"/>
    </xf>
    <xf numFmtId="0" fontId="0" fillId="0" borderId="5" xfId="0" applyBorder="1" applyProtection="1"/>
    <xf numFmtId="0" fontId="0" fillId="0" borderId="4" xfId="0" applyBorder="1" applyProtection="1"/>
    <xf numFmtId="0" fontId="21" fillId="0" borderId="5" xfId="0" applyFont="1" applyBorder="1" applyAlignment="1" applyProtection="1">
      <alignment vertical="center"/>
    </xf>
    <xf numFmtId="0" fontId="0" fillId="0" borderId="0" xfId="0" applyBorder="1" applyAlignment="1" applyProtection="1"/>
    <xf numFmtId="0" fontId="0" fillId="0" borderId="4" xfId="0" applyBorder="1" applyAlignment="1" applyProtection="1"/>
    <xf numFmtId="0" fontId="9" fillId="0" borderId="5" xfId="0" applyFont="1" applyBorder="1" applyProtection="1"/>
    <xf numFmtId="41" fontId="0" fillId="0" borderId="0" xfId="0" applyNumberFormat="1" applyFill="1" applyBorder="1" applyAlignment="1" applyProtection="1"/>
    <xf numFmtId="41" fontId="0" fillId="0" borderId="4" xfId="0" applyNumberFormat="1" applyFill="1" applyBorder="1" applyAlignment="1" applyProtection="1"/>
    <xf numFmtId="0" fontId="0" fillId="0" borderId="0" xfId="0" applyBorder="1" applyAlignment="1" applyProtection="1">
      <alignment vertical="center"/>
    </xf>
    <xf numFmtId="41" fontId="0" fillId="0" borderId="0" xfId="0" applyNumberFormat="1" applyFill="1" applyBorder="1" applyAlignment="1" applyProtection="1">
      <alignment vertical="center"/>
    </xf>
    <xf numFmtId="41" fontId="0" fillId="0" borderId="4" xfId="0" applyNumberFormat="1" applyFill="1" applyBorder="1" applyAlignment="1" applyProtection="1">
      <alignment vertical="center"/>
    </xf>
    <xf numFmtId="0" fontId="0" fillId="0" borderId="5" xfId="0" applyFill="1" applyBorder="1" applyProtection="1"/>
    <xf numFmtId="0" fontId="0" fillId="0" borderId="12" xfId="0" applyFill="1" applyBorder="1" applyProtection="1"/>
    <xf numFmtId="0" fontId="3" fillId="11" borderId="3" xfId="0" applyFont="1" applyFill="1" applyBorder="1" applyAlignment="1" applyProtection="1"/>
    <xf numFmtId="0" fontId="0" fillId="11" borderId="4" xfId="0" applyFill="1" applyBorder="1" applyProtection="1"/>
    <xf numFmtId="0" fontId="0" fillId="11" borderId="14" xfId="0" applyFill="1" applyBorder="1" applyAlignment="1" applyProtection="1">
      <alignment horizontal="left"/>
    </xf>
    <xf numFmtId="0" fontId="3" fillId="5" borderId="0" xfId="0" applyFont="1" applyFill="1" applyBorder="1" applyAlignment="1" applyProtection="1">
      <alignment horizontal="left" indent="1"/>
    </xf>
    <xf numFmtId="0" fontId="0" fillId="0" borderId="0" xfId="0" applyFill="1" applyAlignment="1">
      <alignment horizontal="left" vertical="center"/>
    </xf>
    <xf numFmtId="0" fontId="25" fillId="0" borderId="0" xfId="0" applyFont="1" applyProtection="1"/>
    <xf numFmtId="0" fontId="25" fillId="0" borderId="0" xfId="0" applyFont="1"/>
    <xf numFmtId="0" fontId="0" fillId="0" borderId="4" xfId="0" applyBorder="1" applyAlignment="1" applyProtection="1">
      <alignment vertical="top" wrapText="1"/>
    </xf>
    <xf numFmtId="0" fontId="0" fillId="0" borderId="5" xfId="0" applyBorder="1" applyAlignment="1" applyProtection="1">
      <alignment vertical="top" wrapText="1"/>
    </xf>
    <xf numFmtId="0" fontId="1" fillId="0" borderId="0" xfId="0" applyFont="1"/>
    <xf numFmtId="0" fontId="6" fillId="0" borderId="5"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6" fillId="0" borderId="4" xfId="0" applyFont="1" applyBorder="1" applyAlignment="1" applyProtection="1">
      <alignment horizontal="left" vertical="top" wrapText="1"/>
    </xf>
    <xf numFmtId="0" fontId="0" fillId="0" borderId="12" xfId="0" applyNumberFormat="1" applyBorder="1" applyAlignment="1" applyProtection="1">
      <alignment horizontal="justify" vertical="top" wrapText="1"/>
    </xf>
    <xf numFmtId="0" fontId="0" fillId="0" borderId="13" xfId="0" applyNumberFormat="1" applyBorder="1" applyAlignment="1" applyProtection="1">
      <alignment horizontal="justify" vertical="top" wrapText="1"/>
    </xf>
    <xf numFmtId="0" fontId="0" fillId="0" borderId="14" xfId="0" applyNumberFormat="1" applyBorder="1" applyAlignment="1" applyProtection="1">
      <alignment horizontal="justify" vertical="top" wrapText="1"/>
    </xf>
    <xf numFmtId="0" fontId="19" fillId="0" borderId="0" xfId="0" applyFont="1" applyFill="1" applyAlignment="1" applyProtection="1">
      <alignment vertical="center"/>
    </xf>
    <xf numFmtId="0" fontId="9" fillId="0" borderId="0" xfId="0" applyFont="1" applyBorder="1" applyAlignment="1" applyProtection="1">
      <alignment vertical="top" wrapText="1"/>
    </xf>
    <xf numFmtId="0" fontId="9" fillId="0" borderId="0" xfId="0" applyFont="1" applyBorder="1" applyAlignment="1" applyProtection="1">
      <alignment horizontal="left" vertical="top" wrapText="1"/>
    </xf>
    <xf numFmtId="0" fontId="21" fillId="0" borderId="5" xfId="0" applyFont="1" applyBorder="1" applyProtection="1"/>
    <xf numFmtId="41" fontId="0" fillId="0" borderId="0" xfId="0" applyNumberFormat="1" applyBorder="1" applyAlignment="1" applyProtection="1">
      <alignment horizontal="center"/>
    </xf>
    <xf numFmtId="41" fontId="0" fillId="0" borderId="0" xfId="0" applyNumberFormat="1" applyFill="1" applyBorder="1" applyAlignment="1" applyProtection="1">
      <alignment horizontal="center"/>
    </xf>
    <xf numFmtId="41" fontId="0" fillId="0" borderId="4" xfId="0" applyNumberFormat="1" applyFill="1" applyBorder="1" applyAlignment="1" applyProtection="1">
      <alignment horizontal="center"/>
    </xf>
    <xf numFmtId="0" fontId="21" fillId="0" borderId="5" xfId="0" applyFont="1" applyFill="1" applyBorder="1" applyProtection="1"/>
    <xf numFmtId="0" fontId="0" fillId="0" borderId="0" xfId="0" applyFill="1" applyBorder="1" applyProtection="1"/>
    <xf numFmtId="0" fontId="6" fillId="8" borderId="6" xfId="0" applyFont="1" applyFill="1" applyBorder="1" applyAlignment="1" applyProtection="1">
      <alignment horizontal="center" vertical="center"/>
    </xf>
    <xf numFmtId="41" fontId="0" fillId="0" borderId="0" xfId="0" applyNumberFormat="1" applyAlignment="1" applyProtection="1"/>
    <xf numFmtId="0" fontId="1" fillId="0" borderId="0" xfId="0" applyFont="1" applyFill="1" applyBorder="1" applyAlignment="1" applyProtection="1">
      <alignment horizontal="left"/>
    </xf>
    <xf numFmtId="43" fontId="0" fillId="0" borderId="0" xfId="0" applyNumberFormat="1" applyFill="1" applyBorder="1" applyAlignment="1" applyProtection="1"/>
    <xf numFmtId="0" fontId="19" fillId="0" borderId="0" xfId="0" applyFont="1" applyFill="1" applyAlignment="1" applyProtection="1">
      <alignment horizontal="left" vertical="center" indent="2"/>
    </xf>
    <xf numFmtId="0" fontId="26" fillId="0" borderId="0" xfId="0" applyFont="1" applyFill="1" applyProtection="1"/>
    <xf numFmtId="0" fontId="26" fillId="0" borderId="0" xfId="0" applyFont="1" applyFill="1"/>
    <xf numFmtId="0" fontId="9" fillId="0" borderId="0" xfId="0" applyFont="1" applyFill="1" applyBorder="1" applyProtection="1"/>
    <xf numFmtId="41" fontId="25" fillId="0" borderId="0" xfId="0" applyNumberFormat="1" applyFont="1" applyFill="1" applyBorder="1" applyAlignment="1" applyProtection="1"/>
    <xf numFmtId="0" fontId="23" fillId="0" borderId="0" xfId="0" applyFont="1" applyFill="1" applyBorder="1" applyProtection="1"/>
    <xf numFmtId="0" fontId="20" fillId="0" borderId="0" xfId="0" applyFont="1" applyFill="1" applyBorder="1" applyProtection="1"/>
    <xf numFmtId="43" fontId="0" fillId="0" borderId="4" xfId="0" applyNumberFormat="1" applyFill="1" applyBorder="1" applyAlignment="1" applyProtection="1"/>
    <xf numFmtId="43" fontId="0" fillId="0" borderId="0" xfId="0" applyNumberFormat="1" applyFill="1" applyBorder="1" applyProtection="1"/>
    <xf numFmtId="43" fontId="0" fillId="0" borderId="4" xfId="0" applyNumberFormat="1" applyFill="1" applyBorder="1" applyProtection="1"/>
    <xf numFmtId="0" fontId="20" fillId="0" borderId="13" xfId="0" applyFont="1" applyFill="1" applyBorder="1" applyProtection="1"/>
    <xf numFmtId="0" fontId="0" fillId="0" borderId="13" xfId="0" applyFill="1" applyBorder="1" applyProtection="1"/>
    <xf numFmtId="43" fontId="0" fillId="0" borderId="13" xfId="0" applyNumberFormat="1" applyFill="1" applyBorder="1" applyProtection="1"/>
    <xf numFmtId="43" fontId="0" fillId="0" borderId="14" xfId="0" applyNumberFormat="1" applyFill="1" applyBorder="1" applyProtection="1"/>
    <xf numFmtId="0" fontId="5" fillId="0" borderId="0" xfId="0" applyFont="1" applyFill="1" applyBorder="1" applyAlignment="1" applyProtection="1">
      <alignment horizontal="right"/>
    </xf>
    <xf numFmtId="0" fontId="27" fillId="0" borderId="0" xfId="0" applyFont="1" applyFill="1" applyBorder="1" applyAlignment="1" applyProtection="1">
      <alignment horizontal="left" indent="1"/>
    </xf>
    <xf numFmtId="0" fontId="26" fillId="0" borderId="0" xfId="0" applyFont="1" applyFill="1" applyAlignment="1" applyProtection="1">
      <alignment horizontal="left"/>
    </xf>
    <xf numFmtId="0" fontId="0" fillId="0" borderId="0" xfId="0" applyFill="1" applyBorder="1"/>
    <xf numFmtId="0" fontId="20" fillId="0" borderId="0" xfId="0" applyFont="1" applyFill="1" applyBorder="1" applyAlignment="1" applyProtection="1">
      <alignment horizontal="center" vertical="center"/>
    </xf>
    <xf numFmtId="0" fontId="20" fillId="0" borderId="4" xfId="0" applyFont="1" applyFill="1" applyBorder="1" applyAlignment="1" applyProtection="1">
      <alignment horizontal="center" wrapText="1"/>
    </xf>
    <xf numFmtId="0" fontId="1" fillId="0" borderId="0" xfId="0" applyFont="1" applyFill="1" applyBorder="1" applyProtection="1"/>
    <xf numFmtId="41" fontId="1" fillId="0" borderId="0" xfId="0" applyNumberFormat="1" applyFont="1" applyFill="1" applyBorder="1" applyAlignment="1" applyProtection="1">
      <alignment horizontal="center"/>
    </xf>
    <xf numFmtId="0" fontId="1" fillId="0" borderId="13" xfId="0" applyFont="1" applyFill="1" applyBorder="1" applyProtection="1"/>
    <xf numFmtId="41" fontId="1" fillId="0" borderId="13" xfId="0" applyNumberFormat="1" applyFont="1" applyFill="1" applyBorder="1" applyAlignment="1" applyProtection="1">
      <alignment horizontal="center"/>
    </xf>
    <xf numFmtId="0" fontId="0" fillId="0" borderId="12" xfId="0" applyBorder="1" applyAlignment="1" applyProtection="1">
      <alignment horizontal="center" vertical="center"/>
    </xf>
    <xf numFmtId="0" fontId="0" fillId="0" borderId="0" xfId="0" applyAlignment="1">
      <alignment horizontal="center" vertical="center"/>
    </xf>
    <xf numFmtId="0" fontId="27" fillId="0" borderId="0" xfId="0" applyFont="1" applyFill="1" applyBorder="1" applyAlignment="1" applyProtection="1"/>
    <xf numFmtId="0" fontId="25" fillId="0" borderId="0" xfId="0" applyFont="1" applyFill="1" applyBorder="1" applyAlignment="1" applyProtection="1">
      <alignment horizontal="left" indent="2"/>
    </xf>
    <xf numFmtId="0" fontId="24" fillId="0" borderId="0" xfId="0" applyFont="1" applyFill="1" applyBorder="1" applyAlignment="1" applyProtection="1">
      <alignment horizontal="right" vertical="top" indent="2"/>
    </xf>
    <xf numFmtId="43" fontId="24" fillId="0" borderId="0" xfId="0" applyNumberFormat="1" applyFont="1" applyFill="1" applyBorder="1" applyAlignment="1" applyProtection="1">
      <alignment horizontal="center" vertical="center"/>
    </xf>
    <xf numFmtId="0" fontId="0" fillId="0" borderId="8" xfId="0" applyBorder="1" applyAlignment="1" applyProtection="1">
      <alignment horizontal="left" vertical="top" wrapText="1"/>
    </xf>
    <xf numFmtId="0" fontId="20" fillId="0" borderId="0" xfId="0" applyFont="1" applyFill="1" applyBorder="1" applyAlignment="1" applyProtection="1">
      <alignment horizontal="right" indent="2"/>
    </xf>
    <xf numFmtId="0" fontId="9" fillId="0" borderId="5" xfId="0" applyFont="1" applyFill="1" applyBorder="1" applyProtection="1"/>
    <xf numFmtId="0" fontId="0" fillId="0" borderId="5" xfId="0" applyBorder="1" applyAlignment="1" applyProtection="1">
      <alignment vertical="center"/>
    </xf>
    <xf numFmtId="0" fontId="31" fillId="0" borderId="4" xfId="0" applyFont="1" applyBorder="1" applyAlignment="1" applyProtection="1">
      <alignment horizontal="left" vertical="top" indent="1"/>
    </xf>
    <xf numFmtId="0" fontId="5" fillId="0" borderId="0" xfId="0" applyFont="1" applyFill="1" applyBorder="1" applyAlignment="1" applyProtection="1">
      <alignment horizontal="center" vertical="center"/>
    </xf>
    <xf numFmtId="0" fontId="27" fillId="0" borderId="0" xfId="0" applyFont="1" applyFill="1" applyBorder="1" applyAlignment="1" applyProtection="1">
      <alignment horizontal="left" vertical="center"/>
    </xf>
    <xf numFmtId="0" fontId="30" fillId="0" borderId="0" xfId="0" applyFont="1" applyFill="1"/>
    <xf numFmtId="0" fontId="4" fillId="8" borderId="6" xfId="0" applyFont="1" applyFill="1" applyBorder="1" applyAlignment="1">
      <alignment horizontal="center" vertical="center"/>
    </xf>
    <xf numFmtId="0" fontId="27" fillId="0" borderId="0" xfId="0" applyFont="1" applyFill="1" applyBorder="1" applyAlignment="1" applyProtection="1">
      <alignment horizontal="left"/>
    </xf>
    <xf numFmtId="41" fontId="6" fillId="8" borderId="6" xfId="0" applyNumberFormat="1" applyFont="1" applyFill="1" applyBorder="1" applyProtection="1"/>
    <xf numFmtId="41" fontId="6" fillId="8" borderId="6" xfId="0" applyNumberFormat="1" applyFont="1" applyFill="1" applyBorder="1" applyAlignment="1" applyProtection="1"/>
    <xf numFmtId="41" fontId="6" fillId="8" borderId="6" xfId="0" applyNumberFormat="1" applyFont="1" applyFill="1" applyBorder="1"/>
    <xf numFmtId="0" fontId="0" fillId="0" borderId="0" xfId="0" applyFill="1" applyBorder="1" applyAlignment="1">
      <alignment horizontal="left" vertical="center"/>
    </xf>
    <xf numFmtId="0" fontId="9" fillId="0" borderId="0" xfId="0" applyFont="1" applyBorder="1" applyProtection="1"/>
    <xf numFmtId="41" fontId="9" fillId="0" borderId="0" xfId="0" applyNumberFormat="1" applyFont="1" applyFill="1" applyBorder="1" applyAlignment="1" applyProtection="1"/>
    <xf numFmtId="41" fontId="9" fillId="0" borderId="4" xfId="0" applyNumberFormat="1" applyFont="1" applyFill="1" applyBorder="1" applyAlignment="1" applyProtection="1"/>
    <xf numFmtId="41" fontId="25" fillId="0" borderId="0" xfId="0" applyNumberFormat="1" applyFont="1" applyFill="1" applyBorder="1" applyAlignment="1" applyProtection="1">
      <alignment horizontal="center"/>
    </xf>
    <xf numFmtId="41" fontId="0" fillId="0" borderId="13" xfId="0" applyNumberFormat="1" applyFill="1" applyBorder="1" applyAlignment="1" applyProtection="1">
      <alignment horizontal="center"/>
    </xf>
    <xf numFmtId="41" fontId="0" fillId="0" borderId="14" xfId="0" applyNumberFormat="1" applyFill="1" applyBorder="1" applyAlignment="1" applyProtection="1">
      <alignment horizontal="center"/>
    </xf>
    <xf numFmtId="41" fontId="25" fillId="0" borderId="4" xfId="0" applyNumberFormat="1" applyFont="1" applyFill="1" applyBorder="1" applyAlignment="1" applyProtection="1"/>
    <xf numFmtId="0" fontId="29" fillId="0" borderId="0" xfId="0" applyFont="1" applyBorder="1" applyAlignment="1" applyProtection="1">
      <alignment vertical="top"/>
    </xf>
    <xf numFmtId="0" fontId="12" fillId="0" borderId="0" xfId="0" applyFont="1" applyFill="1" applyBorder="1" applyAlignment="1" applyProtection="1">
      <alignment horizontal="center"/>
    </xf>
    <xf numFmtId="0" fontId="12" fillId="0" borderId="4" xfId="0" applyFont="1" applyFill="1" applyBorder="1" applyAlignment="1" applyProtection="1">
      <alignment horizontal="center"/>
    </xf>
    <xf numFmtId="49" fontId="1" fillId="0" borderId="0" xfId="0" applyNumberFormat="1" applyFont="1" applyBorder="1" applyAlignment="1" applyProtection="1">
      <alignment vertical="top" wrapText="1"/>
    </xf>
    <xf numFmtId="0" fontId="1" fillId="0" borderId="0" xfId="0" applyFont="1" applyBorder="1" applyAlignment="1" applyProtection="1">
      <alignment horizontal="justify" vertical="center" wrapText="1"/>
    </xf>
    <xf numFmtId="0" fontId="6" fillId="0" borderId="0" xfId="0" applyFont="1" applyProtection="1"/>
    <xf numFmtId="0" fontId="42" fillId="0" borderId="0" xfId="0" applyFont="1" applyProtection="1"/>
    <xf numFmtId="0" fontId="6" fillId="0" borderId="0" xfId="0" applyFont="1" applyFill="1" applyAlignment="1" applyProtection="1">
      <alignment horizontal="left" vertical="center"/>
    </xf>
    <xf numFmtId="0" fontId="6" fillId="0" borderId="0" xfId="0" applyFont="1" applyFill="1" applyAlignment="1" applyProtection="1">
      <alignment horizontal="left"/>
    </xf>
    <xf numFmtId="0" fontId="6" fillId="0" borderId="0" xfId="0" applyFont="1" applyFill="1" applyAlignment="1" applyProtection="1">
      <alignment vertical="center"/>
    </xf>
    <xf numFmtId="0" fontId="6" fillId="0" borderId="0" xfId="0" applyFont="1" applyFill="1" applyAlignment="1" applyProtection="1"/>
    <xf numFmtId="0" fontId="6" fillId="0" borderId="0" xfId="0" applyFont="1" applyFill="1" applyAlignment="1" applyProtection="1">
      <alignment horizontal="right"/>
    </xf>
    <xf numFmtId="0" fontId="6" fillId="0" borderId="0" xfId="0" applyFont="1" applyFill="1"/>
    <xf numFmtId="0" fontId="1" fillId="0" borderId="0" xfId="0" applyFont="1" applyBorder="1"/>
    <xf numFmtId="0" fontId="0" fillId="0" borderId="0" xfId="0" applyAlignment="1">
      <alignment horizontal="right" vertical="center"/>
    </xf>
    <xf numFmtId="0" fontId="43" fillId="0" borderId="0" xfId="0" applyFont="1" applyFill="1"/>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0" xfId="0" applyFont="1" applyBorder="1" applyAlignment="1" applyProtection="1">
      <alignment horizontal="justify" vertical="top" wrapText="1"/>
    </xf>
    <xf numFmtId="0" fontId="31" fillId="0" borderId="0" xfId="0" applyFont="1" applyBorder="1" applyAlignment="1" applyProtection="1">
      <alignment horizontal="left" vertical="top" indent="1"/>
    </xf>
    <xf numFmtId="0" fontId="26" fillId="0" borderId="0" xfId="0" applyFont="1" applyFill="1" applyAlignment="1" applyProtection="1">
      <alignment horizontal="left" vertical="center"/>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0" xfId="0" applyFont="1" applyBorder="1" applyAlignment="1" applyProtection="1">
      <alignment horizontal="left" vertical="top" wrapText="1"/>
    </xf>
    <xf numFmtId="0" fontId="0" fillId="0" borderId="0" xfId="0" applyAlignment="1" applyProtection="1">
      <alignment horizontal="right" vertical="center"/>
    </xf>
    <xf numFmtId="0" fontId="0" fillId="0" borderId="0" xfId="0" applyFill="1" applyProtection="1"/>
    <xf numFmtId="0" fontId="0" fillId="0" borderId="0" xfId="0" applyAlignment="1" applyProtection="1">
      <alignment vertical="center"/>
    </xf>
    <xf numFmtId="0" fontId="0" fillId="0" borderId="0" xfId="0" applyFill="1" applyAlignment="1" applyProtection="1">
      <alignment vertical="center"/>
    </xf>
    <xf numFmtId="0" fontId="0" fillId="0" borderId="0" xfId="0" applyAlignment="1" applyProtection="1"/>
    <xf numFmtId="0" fontId="9" fillId="0" borderId="0" xfId="0" applyFont="1" applyProtection="1"/>
    <xf numFmtId="0" fontId="0" fillId="0" borderId="0" xfId="0" applyFill="1" applyAlignment="1" applyProtection="1"/>
    <xf numFmtId="0" fontId="0" fillId="0" borderId="0" xfId="0" applyBorder="1" applyAlignment="1" applyProtection="1">
      <alignment horizontal="left" vertical="top"/>
    </xf>
    <xf numFmtId="0" fontId="6" fillId="0" borderId="0" xfId="0" applyFont="1" applyFill="1" applyProtection="1"/>
    <xf numFmtId="0" fontId="30" fillId="0" borderId="0" xfId="0" applyFont="1" applyFill="1" applyProtection="1"/>
    <xf numFmtId="0" fontId="43" fillId="0" borderId="0" xfId="0" applyFont="1" applyFill="1" applyProtection="1"/>
    <xf numFmtId="0" fontId="0" fillId="0" borderId="0" xfId="0" applyAlignment="1" applyProtection="1">
      <alignment horizontal="left" vertical="center"/>
    </xf>
    <xf numFmtId="0" fontId="0" fillId="0" borderId="0" xfId="0" applyAlignment="1" applyProtection="1">
      <alignment horizontal="center" vertical="center"/>
    </xf>
    <xf numFmtId="0" fontId="6" fillId="0" borderId="0" xfId="0" applyFont="1" applyBorder="1" applyProtection="1"/>
    <xf numFmtId="0" fontId="12" fillId="0" borderId="5" xfId="0" applyFont="1" applyFill="1" applyBorder="1" applyAlignment="1" applyProtection="1">
      <alignment horizontal="center"/>
    </xf>
    <xf numFmtId="0" fontId="0" fillId="0" borderId="0" xfId="0" applyFill="1" applyAlignment="1" applyProtection="1">
      <alignment horizontal="left" vertical="top"/>
    </xf>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0" xfId="0" applyFont="1" applyBorder="1" applyAlignment="1" applyProtection="1">
      <alignment horizontal="justify" vertical="top" wrapText="1"/>
    </xf>
    <xf numFmtId="0" fontId="0" fillId="0" borderId="13" xfId="0" applyBorder="1" applyAlignment="1" applyProtection="1">
      <alignment horizontal="center" vertical="center"/>
    </xf>
    <xf numFmtId="0" fontId="1" fillId="0" borderId="0" xfId="0" applyFont="1" applyBorder="1" applyAlignment="1" applyProtection="1">
      <alignment horizontal="left" vertical="top" wrapText="1"/>
    </xf>
    <xf numFmtId="0" fontId="0" fillId="0" borderId="13" xfId="0" applyBorder="1" applyAlignment="1" applyProtection="1">
      <alignment horizontal="center" vertical="center"/>
    </xf>
    <xf numFmtId="0" fontId="9" fillId="0" borderId="0" xfId="0" applyFont="1" applyFill="1" applyBorder="1" applyAlignment="1" applyProtection="1">
      <alignment horizontal="left"/>
    </xf>
    <xf numFmtId="0" fontId="13" fillId="5" borderId="5" xfId="0" applyFont="1" applyFill="1" applyBorder="1" applyAlignment="1" applyProtection="1">
      <alignment horizontal="left"/>
    </xf>
    <xf numFmtId="0" fontId="13" fillId="5" borderId="0" xfId="0" applyFont="1" applyFill="1" applyBorder="1" applyAlignment="1" applyProtection="1">
      <alignment horizontal="left"/>
    </xf>
    <xf numFmtId="0" fontId="13" fillId="5" borderId="2" xfId="0" applyFont="1" applyFill="1" applyBorder="1" applyAlignment="1" applyProtection="1">
      <alignment horizontal="left"/>
    </xf>
    <xf numFmtId="0" fontId="13" fillId="5" borderId="3" xfId="0" applyFont="1" applyFill="1" applyBorder="1" applyAlignment="1" applyProtection="1">
      <alignment horizontal="left"/>
    </xf>
    <xf numFmtId="0" fontId="0" fillId="0" borderId="0" xfId="0" applyBorder="1" applyAlignment="1" applyProtection="1">
      <alignment horizontal="justify" vertical="top" wrapText="1"/>
    </xf>
    <xf numFmtId="0" fontId="9" fillId="0" borderId="0" xfId="0" applyNumberFormat="1" applyFont="1" applyBorder="1" applyAlignment="1" applyProtection="1">
      <alignment horizontal="justify" vertical="top" wrapText="1"/>
    </xf>
    <xf numFmtId="0" fontId="1" fillId="0" borderId="5" xfId="0" applyFont="1" applyBorder="1" applyAlignment="1" applyProtection="1">
      <alignment horizontal="justify" vertical="top" wrapText="1"/>
    </xf>
    <xf numFmtId="0" fontId="1" fillId="0" borderId="0" xfId="0" applyFont="1" applyBorder="1" applyAlignment="1" applyProtection="1">
      <alignment horizontal="justify" vertical="top" wrapText="1"/>
    </xf>
    <xf numFmtId="0" fontId="1" fillId="0" borderId="4" xfId="0" applyFont="1" applyBorder="1" applyAlignment="1" applyProtection="1">
      <alignment horizontal="justify" vertical="top" wrapText="1"/>
    </xf>
    <xf numFmtId="0" fontId="2" fillId="12" borderId="1" xfId="0" applyFont="1" applyFill="1" applyBorder="1" applyAlignment="1" applyProtection="1">
      <alignment horizontal="left" vertical="center"/>
    </xf>
    <xf numFmtId="0" fontId="2" fillId="12" borderId="2" xfId="0" applyFont="1" applyFill="1" applyBorder="1" applyAlignment="1" applyProtection="1">
      <alignment horizontal="left" vertical="center"/>
    </xf>
    <xf numFmtId="0" fontId="2" fillId="12" borderId="3" xfId="0" applyFont="1" applyFill="1" applyBorder="1" applyAlignment="1" applyProtection="1">
      <alignment horizontal="left" vertical="center"/>
    </xf>
    <xf numFmtId="0" fontId="1" fillId="0" borderId="12" xfId="0" applyFont="1" applyBorder="1" applyAlignment="1" applyProtection="1">
      <alignment horizontal="left"/>
      <protection locked="0"/>
    </xf>
    <xf numFmtId="0" fontId="0" fillId="0" borderId="13" xfId="0" applyBorder="1" applyAlignment="1" applyProtection="1">
      <alignment horizontal="left"/>
      <protection locked="0"/>
    </xf>
    <xf numFmtId="0" fontId="0" fillId="0" borderId="14" xfId="0" applyBorder="1" applyAlignment="1" applyProtection="1">
      <alignment horizontal="left"/>
      <protection locked="0"/>
    </xf>
    <xf numFmtId="49" fontId="1" fillId="0" borderId="5" xfId="0" applyNumberFormat="1" applyFont="1" applyBorder="1" applyAlignment="1" applyProtection="1">
      <alignment horizontal="left"/>
      <protection locked="0"/>
    </xf>
    <xf numFmtId="49" fontId="0" fillId="0" borderId="0" xfId="0" applyNumberFormat="1" applyAlignment="1" applyProtection="1">
      <alignment horizontal="left"/>
      <protection locked="0"/>
    </xf>
    <xf numFmtId="0" fontId="2" fillId="12" borderId="5" xfId="0" applyFont="1" applyFill="1" applyBorder="1" applyAlignment="1" applyProtection="1">
      <alignment horizontal="left" vertical="top"/>
    </xf>
    <xf numFmtId="0" fontId="2" fillId="12" borderId="0" xfId="0" applyFont="1" applyFill="1" applyBorder="1" applyAlignment="1" applyProtection="1">
      <alignment horizontal="left" vertical="top"/>
    </xf>
    <xf numFmtId="0" fontId="2" fillId="12" borderId="4" xfId="0" applyFont="1" applyFill="1" applyBorder="1" applyAlignment="1" applyProtection="1">
      <alignment horizontal="left" vertical="top"/>
    </xf>
    <xf numFmtId="0" fontId="13" fillId="5" borderId="10" xfId="0" applyFont="1" applyFill="1" applyBorder="1" applyAlignment="1" applyProtection="1">
      <alignment horizontal="left"/>
    </xf>
    <xf numFmtId="0" fontId="13" fillId="5" borderId="8" xfId="0" applyFont="1" applyFill="1" applyBorder="1" applyAlignment="1" applyProtection="1">
      <alignment horizontal="left"/>
    </xf>
    <xf numFmtId="0" fontId="1" fillId="0" borderId="12" xfId="0" applyFont="1" applyFill="1" applyBorder="1" applyAlignment="1" applyProtection="1">
      <alignment horizontal="left"/>
      <protection locked="0"/>
    </xf>
    <xf numFmtId="0" fontId="9" fillId="0" borderId="13" xfId="0" applyFont="1" applyFill="1" applyBorder="1" applyAlignment="1" applyProtection="1">
      <alignment horizontal="left"/>
      <protection locked="0"/>
    </xf>
    <xf numFmtId="0" fontId="9" fillId="0" borderId="14" xfId="0" applyFont="1" applyFill="1" applyBorder="1" applyAlignment="1" applyProtection="1">
      <alignment horizontal="left"/>
      <protection locked="0"/>
    </xf>
    <xf numFmtId="0" fontId="1" fillId="0" borderId="13" xfId="0" applyFont="1" applyBorder="1" applyAlignment="1" applyProtection="1">
      <alignment horizontal="left"/>
      <protection locked="0"/>
    </xf>
    <xf numFmtId="0" fontId="1" fillId="0" borderId="14" xfId="0" applyFont="1" applyBorder="1" applyAlignment="1" applyProtection="1">
      <alignment horizontal="left"/>
      <protection locked="0"/>
    </xf>
    <xf numFmtId="0" fontId="7" fillId="0" borderId="12" xfId="1" applyNumberFormat="1" applyBorder="1" applyAlignment="1" applyProtection="1">
      <alignment horizontal="left"/>
      <protection locked="0"/>
    </xf>
    <xf numFmtId="0" fontId="0" fillId="11" borderId="1" xfId="0" applyFill="1" applyBorder="1" applyAlignment="1" applyProtection="1">
      <alignment horizontal="center"/>
    </xf>
    <xf numFmtId="0" fontId="0" fillId="11" borderId="2" xfId="0" applyFill="1" applyBorder="1" applyAlignment="1" applyProtection="1">
      <alignment horizontal="center"/>
    </xf>
    <xf numFmtId="0" fontId="0" fillId="11" borderId="5" xfId="0" applyFill="1" applyBorder="1" applyAlignment="1" applyProtection="1">
      <alignment horizontal="center"/>
    </xf>
    <xf numFmtId="0" fontId="0" fillId="11" borderId="0" xfId="0" applyFill="1" applyBorder="1" applyAlignment="1" applyProtection="1">
      <alignment horizontal="center"/>
    </xf>
    <xf numFmtId="0" fontId="0" fillId="11" borderId="12" xfId="0" applyFill="1" applyBorder="1" applyAlignment="1" applyProtection="1">
      <alignment horizontal="center"/>
    </xf>
    <xf numFmtId="0" fontId="0" fillId="11" borderId="13" xfId="0" applyFill="1" applyBorder="1" applyAlignment="1" applyProtection="1">
      <alignment horizontal="center"/>
    </xf>
    <xf numFmtId="0" fontId="7" fillId="0" borderId="13" xfId="1" applyNumberFormat="1" applyBorder="1" applyAlignment="1" applyProtection="1">
      <alignment horizontal="left"/>
      <protection locked="0"/>
    </xf>
    <xf numFmtId="49" fontId="0" fillId="0" borderId="4" xfId="0" applyNumberFormat="1" applyBorder="1" applyAlignment="1" applyProtection="1">
      <alignment horizontal="left"/>
      <protection locked="0"/>
    </xf>
    <xf numFmtId="0" fontId="1" fillId="0" borderId="10" xfId="0"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14" fontId="9" fillId="0" borderId="10" xfId="0" applyNumberFormat="1" applyFont="1" applyFill="1" applyBorder="1" applyAlignment="1" applyProtection="1">
      <alignment horizontal="left" vertical="center"/>
      <protection locked="0"/>
    </xf>
    <xf numFmtId="14" fontId="9" fillId="0" borderId="8" xfId="0" applyNumberFormat="1" applyFont="1" applyFill="1" applyBorder="1" applyAlignment="1" applyProtection="1">
      <alignment horizontal="left" vertical="center"/>
      <protection locked="0"/>
    </xf>
    <xf numFmtId="14" fontId="9" fillId="0" borderId="9" xfId="0" applyNumberFormat="1" applyFont="1" applyFill="1" applyBorder="1" applyAlignment="1" applyProtection="1">
      <alignment horizontal="left" vertical="center"/>
      <protection locked="0"/>
    </xf>
    <xf numFmtId="0" fontId="13" fillId="5" borderId="1" xfId="0" applyFont="1" applyFill="1" applyBorder="1" applyAlignment="1" applyProtection="1">
      <alignment horizontal="left"/>
    </xf>
    <xf numFmtId="0" fontId="1" fillId="0" borderId="5" xfId="0" applyFont="1" applyBorder="1" applyAlignment="1" applyProtection="1">
      <alignment horizontal="justify" vertical="center" wrapText="1"/>
    </xf>
    <xf numFmtId="0" fontId="0" fillId="0" borderId="0" xfId="0" applyBorder="1" applyAlignment="1" applyProtection="1">
      <alignment horizontal="justify" vertical="center" wrapText="1"/>
    </xf>
    <xf numFmtId="0" fontId="0" fillId="0" borderId="4" xfId="0" applyBorder="1" applyAlignment="1" applyProtection="1">
      <alignment horizontal="justify" vertical="center" wrapText="1"/>
    </xf>
    <xf numFmtId="0" fontId="0" fillId="0" borderId="5" xfId="0" applyBorder="1" applyAlignment="1" applyProtection="1">
      <alignment horizontal="justify" vertical="center" wrapText="1"/>
    </xf>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5" xfId="0" applyFont="1" applyBorder="1" applyAlignment="1" applyProtection="1">
      <alignment horizontal="justify" vertical="top" wrapText="1"/>
    </xf>
    <xf numFmtId="0" fontId="6" fillId="0" borderId="0" xfId="0" applyFont="1" applyBorder="1" applyAlignment="1" applyProtection="1">
      <alignment horizontal="justify" vertical="top" wrapText="1"/>
    </xf>
    <xf numFmtId="0" fontId="6" fillId="0" borderId="4" xfId="0" applyFont="1" applyBorder="1" applyAlignment="1" applyProtection="1">
      <alignment horizontal="justify" vertical="top" wrapText="1"/>
    </xf>
    <xf numFmtId="0" fontId="14" fillId="12" borderId="10" xfId="0" applyFont="1" applyFill="1" applyBorder="1" applyAlignment="1" applyProtection="1">
      <alignment horizontal="left" vertical="center"/>
    </xf>
    <xf numFmtId="0" fontId="14" fillId="12" borderId="8" xfId="0" applyFont="1" applyFill="1" applyBorder="1" applyAlignment="1" applyProtection="1">
      <alignment horizontal="left" vertical="center"/>
    </xf>
    <xf numFmtId="0" fontId="14" fillId="12" borderId="9" xfId="0" applyFont="1" applyFill="1" applyBorder="1" applyAlignment="1" applyProtection="1">
      <alignment horizontal="left" vertical="center"/>
    </xf>
    <xf numFmtId="0" fontId="8" fillId="0" borderId="0" xfId="0" applyFont="1" applyBorder="1" applyAlignment="1" applyProtection="1">
      <alignment horizontal="justify" vertical="top" wrapText="1"/>
    </xf>
    <xf numFmtId="0" fontId="8" fillId="0" borderId="4" xfId="0" applyFont="1" applyBorder="1" applyAlignment="1" applyProtection="1">
      <alignment horizontal="justify" vertical="top" wrapText="1"/>
    </xf>
    <xf numFmtId="0" fontId="8" fillId="0" borderId="5" xfId="0" applyFont="1" applyBorder="1" applyAlignment="1" applyProtection="1">
      <alignment horizontal="justify" vertical="top" wrapText="1"/>
    </xf>
    <xf numFmtId="41" fontId="0" fillId="0" borderId="10" xfId="0" applyNumberFormat="1" applyFill="1" applyBorder="1" applyAlignment="1" applyProtection="1">
      <alignment horizontal="center"/>
      <protection locked="0"/>
    </xf>
    <xf numFmtId="41" fontId="0" fillId="0" borderId="9" xfId="0" applyNumberFormat="1" applyFill="1" applyBorder="1" applyAlignment="1" applyProtection="1">
      <alignment horizontal="center"/>
      <protection locked="0"/>
    </xf>
    <xf numFmtId="41" fontId="0" fillId="9" borderId="10" xfId="0" applyNumberFormat="1" applyFill="1" applyBorder="1" applyAlignment="1" applyProtection="1">
      <alignment horizontal="center"/>
      <protection locked="0"/>
    </xf>
    <xf numFmtId="41" fontId="0" fillId="9" borderId="9" xfId="0" applyNumberFormat="1" applyFill="1" applyBorder="1" applyAlignment="1" applyProtection="1">
      <alignment horizontal="center"/>
      <protection locked="0"/>
    </xf>
    <xf numFmtId="41" fontId="6" fillId="10" borderId="10" xfId="0" applyNumberFormat="1" applyFont="1" applyFill="1" applyBorder="1" applyAlignment="1" applyProtection="1">
      <alignment horizontal="center"/>
    </xf>
    <xf numFmtId="41" fontId="6" fillId="10" borderId="9" xfId="0" applyNumberFormat="1" applyFont="1" applyFill="1" applyBorder="1" applyAlignment="1" applyProtection="1">
      <alignment horizontal="center"/>
    </xf>
    <xf numFmtId="0" fontId="26" fillId="0" borderId="0" xfId="0" applyFont="1" applyFill="1" applyAlignment="1" applyProtection="1">
      <alignment horizontal="right"/>
    </xf>
    <xf numFmtId="0" fontId="26" fillId="0" borderId="0" xfId="0" applyFont="1" applyFill="1" applyAlignment="1" applyProtection="1">
      <alignment horizontal="left" vertical="center"/>
    </xf>
    <xf numFmtId="0" fontId="25" fillId="0" borderId="6" xfId="0" applyFont="1" applyBorder="1" applyAlignment="1" applyProtection="1">
      <alignment horizontal="left" indent="2"/>
    </xf>
    <xf numFmtId="0" fontId="25" fillId="9" borderId="6" xfId="0" applyFont="1" applyFill="1" applyBorder="1" applyAlignment="1" applyProtection="1">
      <alignment horizontal="left" indent="2"/>
    </xf>
    <xf numFmtId="0" fontId="20" fillId="10" borderId="6" xfId="0" applyFont="1" applyFill="1" applyBorder="1" applyAlignment="1" applyProtection="1">
      <alignment horizontal="right" indent="2"/>
    </xf>
    <xf numFmtId="0" fontId="19" fillId="0" borderId="0" xfId="0" applyFont="1" applyFill="1" applyAlignment="1" applyProtection="1">
      <alignment horizontal="left" vertical="center"/>
    </xf>
    <xf numFmtId="0" fontId="1" fillId="0" borderId="1" xfId="0" applyFont="1"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41" fontId="0" fillId="0" borderId="10" xfId="0" applyNumberFormat="1" applyBorder="1" applyAlignment="1" applyProtection="1">
      <alignment horizontal="center" vertical="center"/>
      <protection locked="0"/>
    </xf>
    <xf numFmtId="41" fontId="0" fillId="0" borderId="9" xfId="0" applyNumberFormat="1" applyBorder="1" applyAlignment="1" applyProtection="1">
      <alignment horizontal="center" vertical="center"/>
      <protection locked="0"/>
    </xf>
    <xf numFmtId="0" fontId="25" fillId="0" borderId="6" xfId="0" applyFont="1" applyFill="1" applyBorder="1" applyAlignment="1" applyProtection="1">
      <alignment horizontal="left" indent="2"/>
    </xf>
    <xf numFmtId="0" fontId="31" fillId="0" borderId="0" xfId="0" applyFont="1" applyBorder="1" applyAlignment="1" applyProtection="1">
      <alignment horizontal="left" vertical="top" indent="1"/>
    </xf>
    <xf numFmtId="0" fontId="25" fillId="9" borderId="8" xfId="0" applyFont="1" applyFill="1" applyBorder="1" applyAlignment="1" applyProtection="1">
      <alignment horizontal="left" indent="2"/>
    </xf>
    <xf numFmtId="0" fontId="25" fillId="9" borderId="9" xfId="0" applyFont="1" applyFill="1" applyBorder="1" applyAlignment="1" applyProtection="1">
      <alignment horizontal="left" indent="2"/>
    </xf>
    <xf numFmtId="0" fontId="27" fillId="7" borderId="8" xfId="0" applyFont="1" applyFill="1" applyBorder="1" applyAlignment="1" applyProtection="1">
      <alignment horizontal="center" vertical="center"/>
    </xf>
    <xf numFmtId="0" fontId="27" fillId="7" borderId="9" xfId="0" applyFont="1" applyFill="1" applyBorder="1" applyAlignment="1" applyProtection="1">
      <alignment horizontal="center" vertical="center"/>
    </xf>
    <xf numFmtId="0" fontId="5" fillId="7" borderId="10" xfId="0" applyFont="1" applyFill="1" applyBorder="1" applyAlignment="1" applyProtection="1">
      <alignment horizontal="right" vertical="center"/>
    </xf>
    <xf numFmtId="0" fontId="5" fillId="7" borderId="8" xfId="0" applyFont="1" applyFill="1" applyBorder="1" applyAlignment="1" applyProtection="1">
      <alignment horizontal="right" vertical="center"/>
    </xf>
    <xf numFmtId="0" fontId="28" fillId="0" borderId="0"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wrapText="1"/>
    </xf>
    <xf numFmtId="0" fontId="34" fillId="13" borderId="2" xfId="0" applyFont="1" applyFill="1" applyBorder="1" applyAlignment="1" applyProtection="1">
      <alignment horizontal="center" vertical="center" wrapText="1"/>
    </xf>
    <xf numFmtId="0" fontId="34" fillId="13" borderId="3" xfId="0" applyFont="1" applyFill="1" applyBorder="1" applyAlignment="1" applyProtection="1">
      <alignment horizontal="center" vertical="center" wrapText="1"/>
    </xf>
    <xf numFmtId="0" fontId="29" fillId="0" borderId="0" xfId="0" applyFont="1" applyBorder="1" applyAlignment="1" applyProtection="1">
      <alignment horizontal="left" vertical="top" indent="1"/>
    </xf>
    <xf numFmtId="0" fontId="33" fillId="13" borderId="5" xfId="0" applyFont="1" applyFill="1" applyBorder="1" applyAlignment="1" applyProtection="1">
      <alignment horizontal="center" vertical="center" wrapText="1"/>
    </xf>
    <xf numFmtId="0" fontId="33" fillId="13" borderId="0" xfId="0" applyFont="1" applyFill="1" applyBorder="1" applyAlignment="1" applyProtection="1">
      <alignment horizontal="center" vertical="center" wrapText="1"/>
    </xf>
    <xf numFmtId="0" fontId="33" fillId="13" borderId="4" xfId="0" applyFont="1" applyFill="1" applyBorder="1" applyAlignment="1" applyProtection="1">
      <alignment horizontal="center" vertical="center" wrapText="1"/>
    </xf>
    <xf numFmtId="0" fontId="24" fillId="10" borderId="10" xfId="0" applyFont="1" applyFill="1" applyBorder="1" applyAlignment="1" applyProtection="1">
      <alignment horizontal="right" vertical="center" indent="2"/>
    </xf>
    <xf numFmtId="0" fontId="24" fillId="10" borderId="8" xfId="0" applyFont="1" applyFill="1" applyBorder="1" applyAlignment="1" applyProtection="1">
      <alignment horizontal="right" vertical="center" indent="2"/>
    </xf>
    <xf numFmtId="0" fontId="9" fillId="0" borderId="10" xfId="0" applyFont="1" applyBorder="1" applyAlignment="1" applyProtection="1">
      <alignment horizontal="left" vertical="center" indent="2"/>
    </xf>
    <xf numFmtId="0" fontId="9" fillId="0" borderId="8" xfId="0" applyFont="1" applyBorder="1" applyAlignment="1" applyProtection="1">
      <alignment horizontal="left" vertical="center" indent="2"/>
    </xf>
    <xf numFmtId="0" fontId="9" fillId="9" borderId="10" xfId="0" applyFont="1" applyFill="1" applyBorder="1" applyAlignment="1" applyProtection="1">
      <alignment horizontal="left" vertical="center" indent="2"/>
    </xf>
    <xf numFmtId="0" fontId="9" fillId="9" borderId="8" xfId="0" applyFont="1" applyFill="1" applyBorder="1" applyAlignment="1" applyProtection="1">
      <alignment horizontal="left" vertical="center" indent="2"/>
    </xf>
    <xf numFmtId="0" fontId="9" fillId="0" borderId="10" xfId="0" applyFont="1" applyFill="1" applyBorder="1" applyAlignment="1" applyProtection="1">
      <alignment horizontal="left" vertical="center" indent="2"/>
    </xf>
    <xf numFmtId="0" fontId="9" fillId="0" borderId="8" xfId="0" applyFont="1" applyFill="1" applyBorder="1" applyAlignment="1" applyProtection="1">
      <alignment horizontal="left" vertical="center" indent="2"/>
    </xf>
    <xf numFmtId="41" fontId="9" fillId="0" borderId="10" xfId="0" applyNumberFormat="1" applyFont="1" applyBorder="1" applyAlignment="1" applyProtection="1">
      <alignment horizontal="center" vertical="center"/>
      <protection locked="0"/>
    </xf>
    <xf numFmtId="41" fontId="9" fillId="0" borderId="9" xfId="0" applyNumberFormat="1" applyFont="1" applyBorder="1" applyAlignment="1" applyProtection="1">
      <alignment horizontal="center" vertical="center"/>
      <protection locked="0"/>
    </xf>
    <xf numFmtId="41" fontId="24" fillId="10" borderId="10" xfId="0" applyNumberFormat="1" applyFont="1" applyFill="1" applyBorder="1" applyAlignment="1" applyProtection="1">
      <alignment horizontal="center" vertical="center"/>
    </xf>
    <xf numFmtId="41" fontId="24" fillId="10" borderId="9" xfId="0" applyNumberFormat="1" applyFont="1" applyFill="1" applyBorder="1" applyAlignment="1" applyProtection="1">
      <alignment horizontal="center" vertical="center"/>
    </xf>
    <xf numFmtId="0" fontId="9" fillId="9" borderId="6" xfId="0" applyFont="1" applyFill="1" applyBorder="1" applyAlignment="1" applyProtection="1">
      <alignment horizontal="left" vertical="center" indent="2"/>
    </xf>
    <xf numFmtId="0" fontId="24" fillId="10" borderId="6" xfId="0" applyFont="1" applyFill="1" applyBorder="1" applyAlignment="1" applyProtection="1">
      <alignment horizontal="right" vertical="center" indent="2"/>
    </xf>
    <xf numFmtId="0" fontId="31" fillId="0" borderId="0" xfId="0" applyFont="1" applyFill="1" applyBorder="1" applyAlignment="1" applyProtection="1">
      <alignment horizontal="left" vertical="top"/>
    </xf>
    <xf numFmtId="0" fontId="13" fillId="13" borderId="5" xfId="0" applyFont="1" applyFill="1" applyBorder="1" applyAlignment="1" applyProtection="1">
      <alignment horizontal="center" vertical="top" wrapText="1"/>
    </xf>
    <xf numFmtId="0" fontId="12" fillId="13" borderId="0" xfId="0" applyFont="1" applyFill="1" applyBorder="1" applyAlignment="1" applyProtection="1">
      <alignment horizontal="center" vertical="top" wrapText="1"/>
    </xf>
    <xf numFmtId="0" fontId="12" fillId="13" borderId="4"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xf>
    <xf numFmtId="0" fontId="34" fillId="13" borderId="2" xfId="0" applyFont="1" applyFill="1" applyBorder="1" applyAlignment="1" applyProtection="1">
      <alignment horizontal="center" vertical="center"/>
    </xf>
    <xf numFmtId="0" fontId="34" fillId="13" borderId="3" xfId="0" applyFont="1" applyFill="1" applyBorder="1" applyAlignment="1" applyProtection="1">
      <alignment horizontal="center" vertical="center"/>
    </xf>
    <xf numFmtId="0" fontId="27" fillId="7" borderId="8" xfId="0" applyFont="1" applyFill="1" applyBorder="1" applyAlignment="1" applyProtection="1">
      <alignment horizontal="center"/>
    </xf>
    <xf numFmtId="0" fontId="27" fillId="7" borderId="9" xfId="0" applyFont="1" applyFill="1" applyBorder="1" applyAlignment="1" applyProtection="1">
      <alignment horizontal="center"/>
    </xf>
    <xf numFmtId="0" fontId="5" fillId="7" borderId="10" xfId="0" applyFont="1" applyFill="1" applyBorder="1" applyAlignment="1" applyProtection="1">
      <alignment horizontal="right"/>
    </xf>
    <xf numFmtId="0" fontId="5" fillId="7" borderId="8" xfId="0" applyFont="1" applyFill="1" applyBorder="1" applyAlignment="1" applyProtection="1">
      <alignment horizontal="right"/>
    </xf>
    <xf numFmtId="0" fontId="29" fillId="0" borderId="0" xfId="0" applyFont="1" applyFill="1" applyBorder="1" applyAlignment="1" applyProtection="1">
      <alignment horizontal="left" vertical="top"/>
    </xf>
    <xf numFmtId="0" fontId="25" fillId="0" borderId="10" xfId="0" applyFont="1" applyBorder="1" applyAlignment="1" applyProtection="1">
      <alignment horizontal="left" vertical="top" indent="2"/>
    </xf>
    <xf numFmtId="0" fontId="25" fillId="0" borderId="8" xfId="0" applyFont="1" applyBorder="1" applyAlignment="1" applyProtection="1">
      <alignment horizontal="left" vertical="top" indent="2"/>
    </xf>
    <xf numFmtId="0" fontId="25" fillId="0" borderId="9" xfId="0" applyFont="1" applyBorder="1" applyAlignment="1" applyProtection="1">
      <alignment horizontal="left" vertical="top" indent="2"/>
    </xf>
    <xf numFmtId="0" fontId="4" fillId="10" borderId="10" xfId="0" applyFont="1" applyFill="1" applyBorder="1" applyAlignment="1" applyProtection="1">
      <alignment horizontal="right" vertical="top" indent="2"/>
    </xf>
    <xf numFmtId="0" fontId="4" fillId="10" borderId="8" xfId="0" applyFont="1" applyFill="1" applyBorder="1" applyAlignment="1" applyProtection="1">
      <alignment horizontal="right" vertical="top" indent="2"/>
    </xf>
    <xf numFmtId="0" fontId="4" fillId="10" borderId="9" xfId="0" applyFont="1" applyFill="1" applyBorder="1" applyAlignment="1" applyProtection="1">
      <alignment horizontal="right" vertical="top" indent="2"/>
    </xf>
    <xf numFmtId="41" fontId="25" fillId="9" borderId="10" xfId="0" applyNumberFormat="1" applyFont="1" applyFill="1" applyBorder="1" applyAlignment="1" applyProtection="1">
      <alignment horizontal="center" vertical="top"/>
      <protection locked="0"/>
    </xf>
    <xf numFmtId="41" fontId="25" fillId="9" borderId="9" xfId="0" applyNumberFormat="1" applyFont="1" applyFill="1" applyBorder="1" applyAlignment="1" applyProtection="1">
      <alignment horizontal="center" vertical="top"/>
      <protection locked="0"/>
    </xf>
    <xf numFmtId="41" fontId="25" fillId="0" borderId="10" xfId="0" applyNumberFormat="1" applyFont="1" applyBorder="1" applyAlignment="1" applyProtection="1">
      <alignment horizontal="center" vertical="top"/>
      <protection locked="0"/>
    </xf>
    <xf numFmtId="41" fontId="25" fillId="0" borderId="9" xfId="0" applyNumberFormat="1" applyFont="1" applyBorder="1" applyAlignment="1" applyProtection="1">
      <alignment horizontal="center" vertical="top"/>
      <protection locked="0"/>
    </xf>
    <xf numFmtId="41" fontId="4" fillId="10" borderId="10" xfId="0" applyNumberFormat="1" applyFont="1" applyFill="1" applyBorder="1" applyAlignment="1" applyProtection="1">
      <alignment horizontal="center" vertical="center"/>
    </xf>
    <xf numFmtId="41" fontId="4" fillId="10" borderId="9" xfId="0" applyNumberFormat="1" applyFont="1" applyFill="1" applyBorder="1" applyAlignment="1" applyProtection="1">
      <alignment horizontal="center" vertical="center"/>
    </xf>
    <xf numFmtId="0" fontId="25" fillId="9" borderId="10" xfId="0" applyFont="1" applyFill="1" applyBorder="1" applyAlignment="1" applyProtection="1">
      <alignment horizontal="left" vertical="top" indent="2"/>
    </xf>
    <xf numFmtId="0" fontId="25" fillId="9" borderId="8" xfId="0" applyFont="1" applyFill="1" applyBorder="1" applyAlignment="1" applyProtection="1">
      <alignment horizontal="left" vertical="top" indent="2"/>
    </xf>
    <xf numFmtId="0" fontId="25" fillId="9" borderId="9" xfId="0" applyFont="1" applyFill="1" applyBorder="1" applyAlignment="1" applyProtection="1">
      <alignment horizontal="left" vertical="top" indent="2"/>
    </xf>
    <xf numFmtId="0" fontId="31" fillId="0" borderId="0" xfId="0" applyFont="1" applyBorder="1" applyAlignment="1" applyProtection="1">
      <alignment horizontal="left" vertical="top"/>
    </xf>
    <xf numFmtId="0" fontId="37" fillId="0" borderId="0" xfId="0" applyFont="1" applyBorder="1" applyAlignment="1" applyProtection="1">
      <alignment horizontal="left" vertical="top"/>
    </xf>
    <xf numFmtId="0" fontId="9" fillId="0" borderId="9" xfId="0" applyFont="1" applyBorder="1" applyAlignment="1" applyProtection="1">
      <alignment horizontal="left" vertical="center" indent="2"/>
    </xf>
    <xf numFmtId="41" fontId="0" fillId="9" borderId="10" xfId="0" applyNumberFormat="1" applyFill="1" applyBorder="1" applyAlignment="1" applyProtection="1">
      <alignment horizontal="center" vertical="center"/>
      <protection locked="0"/>
    </xf>
    <xf numFmtId="41" fontId="0" fillId="9" borderId="9" xfId="0" applyNumberFormat="1" applyFill="1" applyBorder="1" applyAlignment="1" applyProtection="1">
      <alignment horizontal="center" vertical="center"/>
      <protection locked="0"/>
    </xf>
    <xf numFmtId="0" fontId="31" fillId="0" borderId="0" xfId="0" applyFont="1" applyBorder="1" applyAlignment="1" applyProtection="1">
      <alignment horizontal="left" vertical="center"/>
    </xf>
    <xf numFmtId="0" fontId="1" fillId="9" borderId="10" xfId="0" applyFont="1" applyFill="1" applyBorder="1" applyAlignment="1" applyProtection="1">
      <alignment horizontal="left" vertical="center" indent="2"/>
    </xf>
    <xf numFmtId="0" fontId="1" fillId="9" borderId="8" xfId="0" applyFont="1" applyFill="1" applyBorder="1" applyAlignment="1" applyProtection="1">
      <alignment horizontal="left" vertical="center" indent="2"/>
    </xf>
    <xf numFmtId="0" fontId="1" fillId="0" borderId="10" xfId="0" applyFont="1" applyBorder="1" applyAlignment="1" applyProtection="1">
      <alignment horizontal="left" vertical="center" indent="2"/>
    </xf>
    <xf numFmtId="0" fontId="1" fillId="0" borderId="8" xfId="0" applyFont="1" applyBorder="1" applyAlignment="1" applyProtection="1">
      <alignment horizontal="left" vertical="center" indent="2"/>
    </xf>
    <xf numFmtId="0" fontId="1" fillId="9" borderId="10" xfId="0" applyFont="1" applyFill="1" applyBorder="1" applyAlignment="1" applyProtection="1">
      <alignment horizontal="left" indent="2"/>
    </xf>
    <xf numFmtId="0" fontId="1" fillId="9" borderId="8" xfId="0" applyFont="1" applyFill="1" applyBorder="1" applyAlignment="1" applyProtection="1">
      <alignment horizontal="left" indent="2"/>
    </xf>
    <xf numFmtId="41" fontId="1" fillId="9" borderId="10" xfId="0" applyNumberFormat="1" applyFont="1" applyFill="1" applyBorder="1" applyAlignment="1" applyProtection="1">
      <alignment horizontal="center"/>
      <protection locked="0"/>
    </xf>
    <xf numFmtId="41" fontId="1" fillId="9" borderId="9" xfId="0" applyNumberFormat="1" applyFont="1" applyFill="1" applyBorder="1" applyAlignment="1" applyProtection="1">
      <alignment horizontal="center"/>
      <protection locked="0"/>
    </xf>
    <xf numFmtId="0" fontId="1" fillId="0" borderId="10" xfId="0" applyFont="1" applyBorder="1" applyAlignment="1" applyProtection="1">
      <alignment horizontal="left" indent="2"/>
    </xf>
    <xf numFmtId="0" fontId="1" fillId="0" borderId="8" xfId="0" applyFont="1" applyBorder="1" applyAlignment="1" applyProtection="1">
      <alignment horizontal="left" indent="2"/>
    </xf>
    <xf numFmtId="41" fontId="1" fillId="0" borderId="10" xfId="0" applyNumberFormat="1" applyFont="1" applyFill="1" applyBorder="1" applyAlignment="1" applyProtection="1">
      <alignment horizontal="center"/>
      <protection locked="0"/>
    </xf>
    <xf numFmtId="41" fontId="1" fillId="0" borderId="9" xfId="0" applyNumberFormat="1" applyFont="1" applyFill="1" applyBorder="1" applyAlignment="1" applyProtection="1">
      <alignment horizontal="center"/>
      <protection locked="0"/>
    </xf>
    <xf numFmtId="0" fontId="31" fillId="0" borderId="0" xfId="0" applyFont="1" applyBorder="1" applyAlignment="1" applyProtection="1">
      <alignment horizontal="left"/>
    </xf>
    <xf numFmtId="0" fontId="1" fillId="9" borderId="6" xfId="0" applyFont="1" applyFill="1" applyBorder="1" applyAlignment="1" applyProtection="1">
      <alignment horizontal="left" indent="2"/>
    </xf>
    <xf numFmtId="41" fontId="0" fillId="9" borderId="6" xfId="0" applyNumberFormat="1" applyFill="1" applyBorder="1" applyAlignment="1" applyProtection="1">
      <alignment horizontal="center"/>
      <protection locked="0"/>
    </xf>
    <xf numFmtId="0" fontId="32" fillId="10" borderId="10" xfId="0" applyFont="1" applyFill="1" applyBorder="1" applyAlignment="1" applyProtection="1">
      <alignment horizontal="right" indent="2"/>
    </xf>
    <xf numFmtId="0" fontId="32" fillId="10" borderId="8" xfId="0" applyFont="1" applyFill="1" applyBorder="1" applyAlignment="1" applyProtection="1">
      <alignment horizontal="right" indent="2"/>
    </xf>
    <xf numFmtId="0" fontId="32" fillId="10" borderId="9" xfId="0" applyFont="1" applyFill="1" applyBorder="1" applyAlignment="1" applyProtection="1">
      <alignment horizontal="right" indent="2"/>
    </xf>
    <xf numFmtId="0" fontId="5" fillId="7" borderId="10" xfId="0" applyFont="1" applyFill="1" applyBorder="1" applyAlignment="1" applyProtection="1">
      <alignment horizontal="center" vertical="center"/>
    </xf>
    <xf numFmtId="0" fontId="5" fillId="7" borderId="8" xfId="0" applyFont="1" applyFill="1" applyBorder="1" applyAlignment="1" applyProtection="1">
      <alignment horizontal="center" vertical="center"/>
    </xf>
    <xf numFmtId="41" fontId="4" fillId="10" borderId="6" xfId="0" applyNumberFormat="1" applyFont="1" applyFill="1" applyBorder="1" applyAlignment="1" applyProtection="1">
      <alignment horizontal="center" vertical="center"/>
    </xf>
    <xf numFmtId="0" fontId="31" fillId="0" borderId="0" xfId="0" applyFont="1" applyBorder="1" applyAlignment="1" applyProtection="1">
      <alignment horizontal="left" indent="1"/>
    </xf>
    <xf numFmtId="0" fontId="31" fillId="0" borderId="4" xfId="0" applyFont="1" applyBorder="1" applyAlignment="1" applyProtection="1">
      <alignment horizontal="left" indent="1"/>
    </xf>
    <xf numFmtId="41" fontId="0" fillId="0" borderId="6" xfId="0" applyNumberFormat="1" applyFill="1" applyBorder="1" applyAlignment="1" applyProtection="1">
      <alignment horizontal="center"/>
      <protection locked="0"/>
    </xf>
    <xf numFmtId="49" fontId="25" fillId="9" borderId="6" xfId="0" applyNumberFormat="1" applyFont="1" applyFill="1" applyBorder="1" applyAlignment="1" applyProtection="1">
      <alignment horizontal="left" vertical="top" indent="2"/>
    </xf>
    <xf numFmtId="49" fontId="25" fillId="0" borderId="6" xfId="0" applyNumberFormat="1" applyFont="1" applyBorder="1" applyAlignment="1" applyProtection="1">
      <alignment horizontal="left" vertical="top" indent="2"/>
    </xf>
    <xf numFmtId="0" fontId="34" fillId="13" borderId="5" xfId="0" applyFont="1" applyFill="1" applyBorder="1" applyAlignment="1" applyProtection="1">
      <alignment horizontal="center" vertical="center"/>
    </xf>
    <xf numFmtId="0" fontId="34" fillId="13" borderId="0" xfId="0" applyFont="1" applyFill="1" applyBorder="1" applyAlignment="1" applyProtection="1">
      <alignment horizontal="center" vertical="center"/>
    </xf>
    <xf numFmtId="0" fontId="34" fillId="13" borderId="4" xfId="0" applyFont="1" applyFill="1" applyBorder="1" applyAlignment="1" applyProtection="1">
      <alignment horizontal="center" vertical="center"/>
    </xf>
    <xf numFmtId="0" fontId="44" fillId="11" borderId="18" xfId="1" applyFont="1" applyFill="1" applyBorder="1" applyAlignment="1" applyProtection="1">
      <alignment horizontal="center" vertical="center"/>
      <protection locked="0"/>
    </xf>
    <xf numFmtId="0" fontId="38" fillId="11" borderId="19" xfId="0" applyFont="1" applyFill="1" applyBorder="1" applyAlignment="1" applyProtection="1">
      <alignment horizontal="center" vertical="center"/>
      <protection locked="0"/>
    </xf>
    <xf numFmtId="0" fontId="38" fillId="11" borderId="20" xfId="0" applyFont="1" applyFill="1" applyBorder="1" applyAlignment="1" applyProtection="1">
      <alignment horizontal="center" vertical="center"/>
      <protection locked="0"/>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41" fontId="6" fillId="10" borderId="6" xfId="0" applyNumberFormat="1" applyFont="1" applyFill="1" applyBorder="1" applyAlignment="1" applyProtection="1">
      <alignment horizontal="center"/>
    </xf>
    <xf numFmtId="41" fontId="0" fillId="0" borderId="6" xfId="0" applyNumberFormat="1" applyBorder="1" applyAlignment="1" applyProtection="1">
      <alignment horizontal="center"/>
      <protection locked="0"/>
    </xf>
    <xf numFmtId="0" fontId="35" fillId="0" borderId="1" xfId="0" applyFont="1" applyBorder="1" applyAlignment="1" applyProtection="1">
      <alignment horizontal="left" vertical="top" wrapText="1"/>
      <protection locked="0"/>
    </xf>
    <xf numFmtId="0" fontId="13" fillId="0" borderId="2" xfId="0" applyFont="1" applyBorder="1" applyAlignment="1" applyProtection="1">
      <alignment horizontal="left" vertical="top"/>
      <protection locked="0"/>
    </xf>
    <xf numFmtId="0" fontId="13" fillId="0" borderId="3" xfId="0" applyFont="1" applyBorder="1" applyAlignment="1" applyProtection="1">
      <alignment horizontal="left" vertical="top"/>
      <protection locked="0"/>
    </xf>
    <xf numFmtId="0" fontId="13" fillId="0" borderId="5" xfId="0" applyFont="1" applyBorder="1" applyAlignment="1" applyProtection="1">
      <alignment horizontal="left" vertical="top"/>
      <protection locked="0"/>
    </xf>
    <xf numFmtId="0" fontId="13" fillId="0" borderId="0" xfId="0" applyFont="1" applyAlignment="1" applyProtection="1">
      <alignment horizontal="left" vertical="top"/>
      <protection locked="0"/>
    </xf>
    <xf numFmtId="0" fontId="13" fillId="0" borderId="4" xfId="0" applyFont="1" applyBorder="1" applyAlignment="1" applyProtection="1">
      <alignment horizontal="left" vertical="top"/>
      <protection locked="0"/>
    </xf>
    <xf numFmtId="0" fontId="13" fillId="0" borderId="12" xfId="0" applyFont="1" applyBorder="1" applyAlignment="1" applyProtection="1">
      <alignment horizontal="left" vertical="top"/>
      <protection locked="0"/>
    </xf>
    <xf numFmtId="0" fontId="13" fillId="0" borderId="13" xfId="0" applyFont="1" applyBorder="1" applyAlignment="1" applyProtection="1">
      <alignment horizontal="left" vertical="top"/>
      <protection locked="0"/>
    </xf>
    <xf numFmtId="0" fontId="13" fillId="0" borderId="14" xfId="0" applyFont="1" applyBorder="1" applyAlignment="1" applyProtection="1">
      <alignment horizontal="left" vertical="top"/>
      <protection locked="0"/>
    </xf>
    <xf numFmtId="0" fontId="12" fillId="5" borderId="1" xfId="0" applyFont="1" applyFill="1" applyBorder="1" applyAlignment="1" applyProtection="1">
      <alignment horizontal="center"/>
    </xf>
    <xf numFmtId="0" fontId="12" fillId="5" borderId="2" xfId="0" applyFont="1" applyFill="1" applyBorder="1" applyAlignment="1" applyProtection="1">
      <alignment horizontal="center"/>
    </xf>
    <xf numFmtId="0" fontId="12" fillId="5" borderId="3" xfId="0" applyFont="1" applyFill="1" applyBorder="1" applyAlignment="1" applyProtection="1">
      <alignment horizontal="center"/>
    </xf>
    <xf numFmtId="0" fontId="1" fillId="12" borderId="1" xfId="0" applyFont="1" applyFill="1" applyBorder="1" applyAlignment="1" applyProtection="1">
      <alignment horizontal="justify" vertical="center" wrapText="1"/>
    </xf>
    <xf numFmtId="0" fontId="9" fillId="12" borderId="2" xfId="0" applyFont="1" applyFill="1" applyBorder="1" applyAlignment="1" applyProtection="1">
      <alignment horizontal="justify" vertical="center" wrapText="1"/>
    </xf>
    <xf numFmtId="0" fontId="9" fillId="12" borderId="3" xfId="0" applyFont="1" applyFill="1" applyBorder="1" applyAlignment="1" applyProtection="1">
      <alignment horizontal="justify" vertical="center" wrapText="1"/>
    </xf>
    <xf numFmtId="0" fontId="9" fillId="12" borderId="5" xfId="0" applyFont="1" applyFill="1" applyBorder="1" applyAlignment="1" applyProtection="1">
      <alignment horizontal="justify" vertical="center" wrapText="1"/>
    </xf>
    <xf numFmtId="0" fontId="9" fillId="12" borderId="0" xfId="0" applyFont="1" applyFill="1" applyBorder="1" applyAlignment="1" applyProtection="1">
      <alignment horizontal="justify" vertical="center" wrapText="1"/>
    </xf>
    <xf numFmtId="0" fontId="9" fillId="12" borderId="4" xfId="0" applyFont="1" applyFill="1" applyBorder="1" applyAlignment="1" applyProtection="1">
      <alignment horizontal="justify" vertical="center" wrapText="1"/>
    </xf>
    <xf numFmtId="0" fontId="9" fillId="12" borderId="12" xfId="0" applyFont="1" applyFill="1" applyBorder="1" applyAlignment="1" applyProtection="1">
      <alignment horizontal="justify" vertical="center" wrapText="1"/>
    </xf>
    <xf numFmtId="0" fontId="9" fillId="12" borderId="13" xfId="0" applyFont="1" applyFill="1" applyBorder="1" applyAlignment="1" applyProtection="1">
      <alignment horizontal="justify" vertical="center" wrapText="1"/>
    </xf>
    <xf numFmtId="0" fontId="9" fillId="12" borderId="14" xfId="0" applyFont="1" applyFill="1" applyBorder="1" applyAlignment="1" applyProtection="1">
      <alignment horizontal="justify" vertical="center" wrapText="1"/>
    </xf>
    <xf numFmtId="0" fontId="0" fillId="6" borderId="10" xfId="0" applyFill="1" applyBorder="1" applyAlignment="1" applyProtection="1">
      <protection locked="0"/>
    </xf>
    <xf numFmtId="0" fontId="0" fillId="6" borderId="8" xfId="0" applyFill="1" applyBorder="1" applyAlignment="1" applyProtection="1">
      <protection locked="0"/>
    </xf>
    <xf numFmtId="0" fontId="0" fillId="6" borderId="9" xfId="0" applyFill="1" applyBorder="1" applyAlignment="1" applyProtection="1">
      <protection locked="0"/>
    </xf>
    <xf numFmtId="42" fontId="1" fillId="0" borderId="6" xfId="0" applyNumberFormat="1" applyFont="1" applyFill="1" applyBorder="1" applyAlignment="1" applyProtection="1">
      <alignment horizontal="right"/>
      <protection locked="0"/>
    </xf>
    <xf numFmtId="42" fontId="1" fillId="6" borderId="6" xfId="0" applyNumberFormat="1" applyFont="1" applyFill="1" applyBorder="1" applyAlignment="1" applyProtection="1">
      <alignment horizontal="right"/>
      <protection locked="0"/>
    </xf>
    <xf numFmtId="0" fontId="6" fillId="10" borderId="10" xfId="0" applyFont="1" applyFill="1" applyBorder="1" applyAlignment="1" applyProtection="1">
      <alignment horizontal="right"/>
    </xf>
    <xf numFmtId="0" fontId="6" fillId="10" borderId="8" xfId="0" applyFont="1" applyFill="1" applyBorder="1" applyAlignment="1" applyProtection="1">
      <alignment horizontal="right"/>
    </xf>
    <xf numFmtId="0" fontId="6" fillId="10" borderId="9" xfId="0" applyFont="1" applyFill="1" applyBorder="1" applyAlignment="1" applyProtection="1">
      <alignment horizontal="right"/>
    </xf>
    <xf numFmtId="42" fontId="6" fillId="4" borderId="6" xfId="0" applyNumberFormat="1" applyFont="1" applyFill="1" applyBorder="1" applyAlignment="1" applyProtection="1">
      <alignment horizontal="right"/>
    </xf>
    <xf numFmtId="42" fontId="1" fillId="2" borderId="6" xfId="0" applyNumberFormat="1" applyFont="1" applyFill="1" applyBorder="1" applyAlignment="1" applyProtection="1">
      <alignment horizontal="center"/>
    </xf>
    <xf numFmtId="0" fontId="10" fillId="0" borderId="11" xfId="0" applyFont="1" applyBorder="1" applyAlignment="1" applyProtection="1">
      <alignment horizontal="left"/>
    </xf>
    <xf numFmtId="0" fontId="1" fillId="6" borderId="10" xfId="0" applyFont="1" applyFill="1" applyBorder="1" applyAlignment="1" applyProtection="1">
      <protection locked="0"/>
    </xf>
    <xf numFmtId="0" fontId="0" fillId="9" borderId="10" xfId="0" applyFill="1" applyBorder="1" applyAlignment="1" applyProtection="1">
      <alignment horizontal="left"/>
    </xf>
    <xf numFmtId="0" fontId="0" fillId="9" borderId="8" xfId="0" applyFill="1" applyBorder="1" applyAlignment="1" applyProtection="1">
      <alignment horizontal="left"/>
    </xf>
    <xf numFmtId="0" fontId="0" fillId="9" borderId="9" xfId="0" applyFill="1" applyBorder="1" applyAlignment="1" applyProtection="1">
      <alignment horizontal="left"/>
    </xf>
    <xf numFmtId="42" fontId="1" fillId="2" borderId="6" xfId="0" applyNumberFormat="1" applyFont="1" applyFill="1" applyBorder="1" applyAlignment="1" applyProtection="1">
      <alignment horizontal="right"/>
    </xf>
    <xf numFmtId="0" fontId="0" fillId="6" borderId="10" xfId="0" applyFill="1" applyBorder="1" applyAlignment="1" applyProtection="1">
      <alignment horizontal="left"/>
    </xf>
    <xf numFmtId="0" fontId="0" fillId="6" borderId="8" xfId="0" applyFill="1" applyBorder="1" applyAlignment="1" applyProtection="1">
      <alignment horizontal="left"/>
    </xf>
    <xf numFmtId="0" fontId="0" fillId="6" borderId="9" xfId="0" applyFill="1" applyBorder="1" applyAlignment="1" applyProtection="1">
      <alignment horizontal="left"/>
    </xf>
    <xf numFmtId="42" fontId="1" fillId="6" borderId="6" xfId="0" applyNumberFormat="1" applyFont="1" applyFill="1" applyBorder="1" applyAlignment="1" applyProtection="1">
      <alignment horizontal="center"/>
      <protection locked="0"/>
    </xf>
    <xf numFmtId="42" fontId="1" fillId="9" borderId="6" xfId="0" applyNumberFormat="1" applyFont="1" applyFill="1" applyBorder="1" applyAlignment="1" applyProtection="1">
      <alignment horizontal="right"/>
      <protection locked="0"/>
    </xf>
    <xf numFmtId="42" fontId="1" fillId="9" borderId="6" xfId="0" applyNumberFormat="1" applyFont="1" applyFill="1" applyBorder="1" applyAlignment="1" applyProtection="1">
      <alignment horizontal="center"/>
      <protection locked="0"/>
    </xf>
    <xf numFmtId="49" fontId="1" fillId="0" borderId="0" xfId="0" applyNumberFormat="1" applyFont="1" applyBorder="1" applyAlignment="1" applyProtection="1">
      <alignment horizontal="justify" vertical="top" wrapText="1"/>
    </xf>
    <xf numFmtId="49" fontId="9" fillId="0" borderId="0" xfId="0" applyNumberFormat="1" applyFont="1" applyBorder="1" applyAlignment="1" applyProtection="1">
      <alignment horizontal="justify" vertical="top" wrapText="1"/>
    </xf>
    <xf numFmtId="42" fontId="1" fillId="0" borderId="6" xfId="0" applyNumberFormat="1" applyFont="1" applyBorder="1" applyAlignment="1" applyProtection="1">
      <alignment horizontal="right"/>
      <protection locked="0"/>
    </xf>
    <xf numFmtId="0" fontId="9" fillId="0" borderId="0" xfId="0" applyFont="1" applyBorder="1" applyAlignment="1" applyProtection="1">
      <alignment horizontal="right" wrapText="1"/>
    </xf>
    <xf numFmtId="0" fontId="0" fillId="0" borderId="0" xfId="0" applyBorder="1" applyAlignment="1" applyProtection="1">
      <alignment horizontal="right" wrapText="1"/>
    </xf>
    <xf numFmtId="0" fontId="1" fillId="12" borderId="1" xfId="0" applyFont="1" applyFill="1" applyBorder="1" applyAlignment="1" applyProtection="1">
      <alignment wrapText="1"/>
    </xf>
    <xf numFmtId="0" fontId="0" fillId="12" borderId="2" xfId="0" applyFill="1" applyBorder="1" applyAlignment="1" applyProtection="1">
      <alignment wrapText="1"/>
    </xf>
    <xf numFmtId="0" fontId="0" fillId="12" borderId="3" xfId="0" applyFill="1" applyBorder="1" applyAlignment="1" applyProtection="1">
      <alignment wrapText="1"/>
    </xf>
    <xf numFmtId="0" fontId="12" fillId="5" borderId="10" xfId="0" applyFont="1" applyFill="1" applyBorder="1" applyAlignment="1" applyProtection="1">
      <alignment horizontal="left"/>
    </xf>
    <xf numFmtId="0" fontId="12" fillId="5" borderId="8" xfId="0" applyFont="1" applyFill="1" applyBorder="1" applyAlignment="1" applyProtection="1">
      <alignment horizontal="left"/>
    </xf>
    <xf numFmtId="0" fontId="12" fillId="5" borderId="9" xfId="0" applyFont="1" applyFill="1" applyBorder="1" applyAlignment="1" applyProtection="1">
      <alignment horizontal="left"/>
    </xf>
    <xf numFmtId="49" fontId="1" fillId="0" borderId="1" xfId="0" applyNumberFormat="1" applyFont="1" applyBorder="1" applyAlignment="1" applyProtection="1">
      <alignment horizontal="left" vertical="top" wrapText="1"/>
      <protection locked="0"/>
    </xf>
    <xf numFmtId="49" fontId="1" fillId="0" borderId="2" xfId="0" applyNumberFormat="1" applyFont="1" applyBorder="1" applyAlignment="1" applyProtection="1">
      <alignment horizontal="left" vertical="top" wrapText="1"/>
      <protection locked="0"/>
    </xf>
    <xf numFmtId="49" fontId="1" fillId="0" borderId="3"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0" xfId="0" applyNumberFormat="1" applyFont="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12"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0" fontId="6" fillId="10" borderId="6" xfId="0" applyFont="1" applyFill="1" applyBorder="1" applyAlignment="1" applyProtection="1">
      <alignment horizontal="right"/>
    </xf>
    <xf numFmtId="0" fontId="1" fillId="0" borderId="10" xfId="0" applyNumberFormat="1" applyFont="1" applyFill="1" applyBorder="1" applyAlignment="1" applyProtection="1">
      <alignment horizontal="left"/>
      <protection locked="0"/>
    </xf>
    <xf numFmtId="0" fontId="1" fillId="0" borderId="8" xfId="0" applyNumberFormat="1" applyFont="1" applyFill="1" applyBorder="1" applyAlignment="1" applyProtection="1">
      <alignment horizontal="left"/>
      <protection locked="0"/>
    </xf>
    <xf numFmtId="0" fontId="1" fillId="0" borderId="9" xfId="0" applyNumberFormat="1" applyFont="1" applyFill="1" applyBorder="1" applyAlignment="1" applyProtection="1">
      <alignment horizontal="left"/>
      <protection locked="0"/>
    </xf>
    <xf numFmtId="0" fontId="9" fillId="0" borderId="13"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13" xfId="0" applyFont="1" applyBorder="1" applyAlignment="1" applyProtection="1">
      <alignment horizontal="center" vertical="center" wrapText="1"/>
    </xf>
    <xf numFmtId="0" fontId="0" fillId="0" borderId="14" xfId="0" applyBorder="1" applyAlignment="1" applyProtection="1">
      <alignment horizontal="center" vertical="center"/>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1" fillId="12" borderId="1" xfId="0" applyFont="1" applyFill="1" applyBorder="1" applyAlignment="1" applyProtection="1">
      <alignment horizontal="justify" vertical="center"/>
    </xf>
    <xf numFmtId="0" fontId="0" fillId="12" borderId="2" xfId="0" applyFill="1" applyBorder="1" applyAlignment="1" applyProtection="1">
      <alignment horizontal="justify" vertical="center"/>
    </xf>
    <xf numFmtId="0" fontId="0" fillId="12" borderId="3" xfId="0" applyFill="1" applyBorder="1" applyAlignment="1" applyProtection="1">
      <alignment horizontal="justify" vertical="center"/>
    </xf>
    <xf numFmtId="0" fontId="1" fillId="12" borderId="5" xfId="0" applyFont="1" applyFill="1" applyBorder="1" applyAlignment="1" applyProtection="1">
      <alignment horizontal="justify" vertical="center"/>
    </xf>
    <xf numFmtId="0" fontId="0" fillId="12" borderId="0" xfId="0" applyFill="1" applyBorder="1" applyAlignment="1" applyProtection="1">
      <alignment horizontal="justify" vertical="center"/>
    </xf>
    <xf numFmtId="0" fontId="0" fillId="12" borderId="4" xfId="0" applyFill="1" applyBorder="1" applyAlignment="1" applyProtection="1">
      <alignment horizontal="justify" vertical="center"/>
    </xf>
    <xf numFmtId="0" fontId="1" fillId="12" borderId="12" xfId="0" applyFont="1" applyFill="1" applyBorder="1" applyAlignment="1" applyProtection="1">
      <alignment horizontal="justify" vertical="center"/>
    </xf>
    <xf numFmtId="0" fontId="0" fillId="12" borderId="13" xfId="0" applyFill="1" applyBorder="1" applyAlignment="1" applyProtection="1">
      <alignment horizontal="justify" vertical="center"/>
    </xf>
    <xf numFmtId="0" fontId="0" fillId="12" borderId="14" xfId="0" applyFill="1" applyBorder="1" applyAlignment="1" applyProtection="1">
      <alignment horizontal="justify" vertical="center"/>
    </xf>
    <xf numFmtId="0" fontId="1" fillId="12" borderId="12" xfId="0" applyFont="1" applyFill="1" applyBorder="1" applyAlignment="1" applyProtection="1">
      <alignment horizontal="left" wrapText="1"/>
    </xf>
    <xf numFmtId="0" fontId="1" fillId="12" borderId="13" xfId="0" applyFont="1" applyFill="1" applyBorder="1" applyAlignment="1" applyProtection="1">
      <alignment horizontal="left" wrapText="1"/>
    </xf>
    <xf numFmtId="0" fontId="1" fillId="12" borderId="14" xfId="0" applyFont="1" applyFill="1" applyBorder="1" applyAlignment="1" applyProtection="1">
      <alignment horizontal="left" wrapText="1"/>
    </xf>
    <xf numFmtId="0" fontId="1" fillId="12" borderId="6" xfId="0" applyFont="1" applyFill="1" applyBorder="1" applyAlignment="1" applyProtection="1"/>
    <xf numFmtId="0" fontId="0" fillId="12" borderId="6" xfId="0" applyFill="1" applyBorder="1" applyAlignment="1" applyProtection="1"/>
    <xf numFmtId="0" fontId="1" fillId="0" borderId="0" xfId="0" applyFont="1" applyBorder="1" applyAlignment="1" applyProtection="1">
      <alignment horizontal="justify" wrapText="1"/>
    </xf>
    <xf numFmtId="0" fontId="1" fillId="9" borderId="6" xfId="0" applyFont="1" applyFill="1" applyBorder="1" applyAlignment="1" applyProtection="1">
      <alignment horizontal="left"/>
    </xf>
    <xf numFmtId="0" fontId="0" fillId="9" borderId="6" xfId="0" applyFill="1" applyBorder="1" applyAlignment="1" applyProtection="1">
      <alignment horizontal="left"/>
    </xf>
    <xf numFmtId="0" fontId="0" fillId="6" borderId="6" xfId="0" applyFill="1" applyBorder="1" applyAlignment="1" applyProtection="1">
      <alignment horizontal="left"/>
    </xf>
    <xf numFmtId="42" fontId="1" fillId="9" borderId="10" xfId="0" applyNumberFormat="1" applyFont="1" applyFill="1" applyBorder="1" applyAlignment="1" applyProtection="1">
      <alignment horizontal="right"/>
      <protection locked="0"/>
    </xf>
    <xf numFmtId="42" fontId="1" fillId="9" borderId="9" xfId="0" applyNumberFormat="1" applyFont="1" applyFill="1" applyBorder="1" applyAlignment="1" applyProtection="1">
      <alignment horizontal="right"/>
      <protection locked="0"/>
    </xf>
    <xf numFmtId="42" fontId="1" fillId="0" borderId="10" xfId="0" applyNumberFormat="1" applyFont="1" applyFill="1" applyBorder="1" applyAlignment="1" applyProtection="1">
      <alignment horizontal="right"/>
      <protection locked="0"/>
    </xf>
    <xf numFmtId="42" fontId="1" fillId="0" borderId="9" xfId="0" applyNumberFormat="1" applyFont="1" applyFill="1" applyBorder="1" applyAlignment="1" applyProtection="1">
      <alignment horizontal="right"/>
      <protection locked="0"/>
    </xf>
    <xf numFmtId="0" fontId="4" fillId="0" borderId="0" xfId="0" applyFont="1" applyAlignment="1" applyProtection="1">
      <alignment horizontal="center"/>
    </xf>
    <xf numFmtId="42" fontId="1" fillId="2" borderId="10" xfId="0" applyNumberFormat="1" applyFont="1" applyFill="1" applyBorder="1" applyAlignment="1" applyProtection="1">
      <alignment horizontal="right"/>
    </xf>
    <xf numFmtId="42" fontId="1" fillId="2" borderId="9" xfId="0" applyNumberFormat="1" applyFont="1" applyFill="1" applyBorder="1" applyAlignment="1" applyProtection="1">
      <alignment horizontal="right"/>
    </xf>
    <xf numFmtId="0" fontId="1" fillId="0" borderId="0" xfId="0" applyFont="1" applyBorder="1" applyAlignment="1" applyProtection="1">
      <alignment horizontal="left" vertical="top" wrapText="1"/>
    </xf>
    <xf numFmtId="0" fontId="1" fillId="0" borderId="1"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wrapText="1"/>
      <protection locked="0"/>
    </xf>
    <xf numFmtId="0" fontId="1" fillId="0" borderId="0" xfId="0" applyFont="1" applyAlignment="1" applyProtection="1">
      <alignment horizontal="left" vertical="top" wrapText="1"/>
    </xf>
    <xf numFmtId="0" fontId="0" fillId="0" borderId="0" xfId="0" applyAlignment="1" applyProtection="1">
      <alignment horizontal="left" vertical="top" wrapText="1"/>
    </xf>
    <xf numFmtId="0" fontId="9" fillId="0" borderId="10" xfId="0" applyNumberFormat="1" applyFont="1" applyFill="1" applyBorder="1" applyAlignment="1" applyProtection="1">
      <alignment horizontal="left"/>
      <protection locked="0"/>
    </xf>
    <xf numFmtId="0" fontId="9" fillId="0" borderId="8" xfId="0" applyNumberFormat="1" applyFont="1" applyFill="1" applyBorder="1" applyAlignment="1" applyProtection="1">
      <alignment horizontal="left"/>
      <protection locked="0"/>
    </xf>
    <xf numFmtId="0" fontId="9" fillId="0" borderId="9" xfId="0" applyNumberFormat="1" applyFont="1" applyFill="1" applyBorder="1" applyAlignment="1" applyProtection="1">
      <alignment horizontal="left"/>
      <protection locked="0"/>
    </xf>
    <xf numFmtId="0" fontId="6" fillId="0" borderId="0" xfId="0" applyFont="1" applyBorder="1" applyAlignment="1" applyProtection="1">
      <alignment horizontal="justify" vertical="center" wrapText="1"/>
    </xf>
    <xf numFmtId="0" fontId="9" fillId="0" borderId="0" xfId="0" applyFont="1" applyBorder="1" applyAlignment="1" applyProtection="1">
      <alignment horizontal="justify" vertical="top" wrapText="1"/>
    </xf>
    <xf numFmtId="0" fontId="1" fillId="12" borderId="2" xfId="0" applyFont="1" applyFill="1" applyBorder="1" applyAlignment="1" applyProtection="1">
      <alignment wrapText="1"/>
    </xf>
    <xf numFmtId="0" fontId="1" fillId="12" borderId="3" xfId="0" applyFont="1" applyFill="1" applyBorder="1" applyAlignment="1" applyProtection="1">
      <alignment wrapText="1"/>
    </xf>
    <xf numFmtId="0" fontId="1" fillId="12" borderId="10" xfId="0" applyFont="1" applyFill="1" applyBorder="1" applyAlignment="1" applyProtection="1"/>
    <xf numFmtId="0" fontId="1" fillId="12" borderId="8" xfId="0" applyFont="1" applyFill="1" applyBorder="1" applyAlignment="1" applyProtection="1"/>
    <xf numFmtId="0" fontId="1" fillId="12" borderId="9" xfId="0" applyFont="1" applyFill="1" applyBorder="1" applyAlignment="1" applyProtection="1"/>
    <xf numFmtId="0" fontId="0" fillId="6" borderId="10" xfId="0" applyFill="1" applyBorder="1" applyProtection="1">
      <protection locked="0"/>
    </xf>
    <xf numFmtId="0" fontId="0" fillId="6" borderId="8" xfId="0" applyFill="1" applyBorder="1" applyProtection="1">
      <protection locked="0"/>
    </xf>
    <xf numFmtId="0" fontId="0" fillId="6" borderId="9" xfId="0" applyFill="1" applyBorder="1" applyProtection="1">
      <protection locked="0"/>
    </xf>
    <xf numFmtId="0" fontId="9" fillId="12" borderId="10" xfId="0" applyFont="1" applyFill="1" applyBorder="1" applyAlignment="1" applyProtection="1"/>
    <xf numFmtId="0" fontId="9" fillId="12" borderId="8" xfId="0" applyFont="1" applyFill="1" applyBorder="1" applyAlignment="1" applyProtection="1"/>
    <xf numFmtId="0" fontId="9" fillId="12" borderId="9" xfId="0" applyFont="1" applyFill="1" applyBorder="1" applyAlignment="1" applyProtection="1"/>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1" fillId="0" borderId="10" xfId="0" applyFont="1" applyBorder="1" applyAlignment="1" applyProtection="1">
      <alignment horizontal="left"/>
      <protection locked="0"/>
    </xf>
    <xf numFmtId="0" fontId="1" fillId="0" borderId="8" xfId="0" applyFont="1" applyBorder="1" applyAlignment="1" applyProtection="1">
      <alignment horizontal="left"/>
      <protection locked="0"/>
    </xf>
    <xf numFmtId="0" fontId="1" fillId="0" borderId="9" xfId="0" applyFont="1" applyBorder="1" applyAlignment="1" applyProtection="1">
      <alignment horizontal="left"/>
      <protection locked="0"/>
    </xf>
    <xf numFmtId="0" fontId="1" fillId="0" borderId="0" xfId="0" applyFont="1" applyBorder="1" applyAlignment="1" applyProtection="1">
      <alignment horizontal="left" vertical="top" wrapText="1"/>
      <protection locked="0"/>
    </xf>
    <xf numFmtId="42" fontId="1" fillId="0" borderId="10" xfId="0" applyNumberFormat="1" applyFont="1" applyBorder="1" applyAlignment="1" applyProtection="1">
      <alignment horizontal="right"/>
      <protection locked="0"/>
    </xf>
    <xf numFmtId="42" fontId="1" fillId="0" borderId="9" xfId="0" applyNumberFormat="1" applyFont="1" applyBorder="1" applyAlignment="1" applyProtection="1">
      <alignment horizontal="right"/>
      <protection locked="0"/>
    </xf>
    <xf numFmtId="0" fontId="1" fillId="0" borderId="1" xfId="0" applyNumberFormat="1" applyFont="1" applyFill="1" applyBorder="1" applyAlignment="1" applyProtection="1">
      <alignment horizontal="center" vertical="center"/>
      <protection locked="0"/>
    </xf>
    <xf numFmtId="0" fontId="1" fillId="0" borderId="2" xfId="0" applyNumberFormat="1" applyFont="1" applyFill="1" applyBorder="1" applyAlignment="1" applyProtection="1">
      <alignment horizontal="center" vertical="center"/>
      <protection locked="0"/>
    </xf>
    <xf numFmtId="0" fontId="1" fillId="0" borderId="3" xfId="0" applyNumberFormat="1" applyFont="1" applyFill="1" applyBorder="1" applyAlignment="1" applyProtection="1">
      <alignment horizontal="center" vertical="center"/>
      <protection locked="0"/>
    </xf>
    <xf numFmtId="0" fontId="1" fillId="0" borderId="12" xfId="0" applyNumberFormat="1" applyFont="1" applyFill="1" applyBorder="1" applyAlignment="1" applyProtection="1">
      <alignment horizontal="center" vertical="center"/>
      <protection locked="0"/>
    </xf>
    <xf numFmtId="0" fontId="1" fillId="0" borderId="13" xfId="0" applyNumberFormat="1" applyFont="1" applyFill="1" applyBorder="1" applyAlignment="1" applyProtection="1">
      <alignment horizontal="center" vertical="center"/>
      <protection locked="0"/>
    </xf>
    <xf numFmtId="0" fontId="1" fillId="0" borderId="14" xfId="0" applyNumberFormat="1" applyFont="1" applyFill="1" applyBorder="1" applyAlignment="1" applyProtection="1">
      <alignment horizontal="center" vertical="center"/>
      <protection locked="0"/>
    </xf>
    <xf numFmtId="0" fontId="41" fillId="0" borderId="0" xfId="0" applyFont="1" applyAlignment="1">
      <alignment horizontal="center"/>
    </xf>
    <xf numFmtId="0" fontId="41" fillId="0" borderId="4" xfId="0" applyFont="1" applyBorder="1" applyAlignment="1">
      <alignment horizontal="center"/>
    </xf>
    <xf numFmtId="0" fontId="31" fillId="0" borderId="0" xfId="0" applyFont="1" applyAlignment="1" applyProtection="1">
      <alignment horizontal="center"/>
    </xf>
    <xf numFmtId="0" fontId="31" fillId="0" borderId="4" xfId="0" applyFont="1" applyBorder="1" applyAlignment="1" applyProtection="1">
      <alignment horizontal="center"/>
    </xf>
    <xf numFmtId="0" fontId="29" fillId="0" borderId="0" xfId="0" applyFont="1" applyAlignment="1">
      <alignment horizontal="center"/>
    </xf>
    <xf numFmtId="0" fontId="4" fillId="0" borderId="0" xfId="0" applyFont="1" applyAlignment="1">
      <alignment horizontal="center"/>
    </xf>
    <xf numFmtId="0" fontId="34" fillId="13" borderId="5" xfId="0" applyFont="1" applyFill="1" applyBorder="1" applyAlignment="1" applyProtection="1">
      <alignment horizontal="center" vertical="center" wrapText="1"/>
    </xf>
    <xf numFmtId="0" fontId="34" fillId="13" borderId="0" xfId="0" applyFont="1" applyFill="1" applyBorder="1" applyAlignment="1" applyProtection="1">
      <alignment horizontal="center" vertical="center" wrapText="1"/>
    </xf>
    <xf numFmtId="0" fontId="4" fillId="0" borderId="4" xfId="0" applyFont="1" applyBorder="1" applyAlignment="1">
      <alignment horizontal="center"/>
    </xf>
    <xf numFmtId="0" fontId="18" fillId="12" borderId="15" xfId="0" applyFont="1" applyFill="1" applyBorder="1" applyAlignment="1" applyProtection="1">
      <alignment horizontal="center" vertical="center"/>
    </xf>
    <xf numFmtId="0" fontId="18" fillId="12" borderId="16" xfId="0" applyFont="1" applyFill="1" applyBorder="1" applyAlignment="1" applyProtection="1">
      <alignment horizontal="center" vertical="center"/>
    </xf>
    <xf numFmtId="0" fontId="18" fillId="12" borderId="17" xfId="0" applyFont="1" applyFill="1" applyBorder="1" applyAlignment="1" applyProtection="1">
      <alignment horizontal="center" vertical="center"/>
    </xf>
    <xf numFmtId="0" fontId="13" fillId="5" borderId="5" xfId="0" applyFont="1" applyFill="1" applyBorder="1" applyAlignment="1" applyProtection="1">
      <alignment horizontal="center" vertical="center" wrapText="1"/>
    </xf>
    <xf numFmtId="0" fontId="13" fillId="5" borderId="0" xfId="0" applyFont="1" applyFill="1" applyBorder="1" applyAlignment="1" applyProtection="1">
      <alignment horizontal="center" vertical="center" wrapText="1"/>
    </xf>
    <xf numFmtId="0" fontId="27" fillId="7" borderId="8" xfId="0" applyFont="1" applyFill="1" applyBorder="1" applyAlignment="1" applyProtection="1">
      <alignment horizontal="left"/>
    </xf>
    <xf numFmtId="0" fontId="27" fillId="7" borderId="9" xfId="0" applyFont="1" applyFill="1" applyBorder="1" applyAlignment="1" applyProtection="1">
      <alignment horizontal="left"/>
    </xf>
    <xf numFmtId="0" fontId="0" fillId="3" borderId="10" xfId="0" applyFill="1" applyBorder="1" applyAlignment="1">
      <alignment horizontal="left"/>
    </xf>
    <xf numFmtId="0" fontId="0" fillId="3" borderId="8" xfId="0" applyFill="1" applyBorder="1" applyAlignment="1">
      <alignment horizontal="left"/>
    </xf>
    <xf numFmtId="0" fontId="0" fillId="3" borderId="9" xfId="0" applyFill="1" applyBorder="1" applyAlignment="1">
      <alignment horizontal="left"/>
    </xf>
    <xf numFmtId="0" fontId="0" fillId="0" borderId="10"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5" fillId="7" borderId="10" xfId="0" applyFont="1" applyFill="1" applyBorder="1" applyAlignment="1">
      <alignment horizontal="center"/>
    </xf>
    <xf numFmtId="0" fontId="5" fillId="7" borderId="8" xfId="0" applyFont="1" applyFill="1" applyBorder="1" applyAlignment="1">
      <alignment horizontal="center"/>
    </xf>
    <xf numFmtId="0" fontId="5" fillId="7" borderId="9" xfId="0" applyFont="1" applyFill="1" applyBorder="1" applyAlignment="1">
      <alignment horizont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4"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6" fillId="0" borderId="0" xfId="0" applyFont="1" applyBorder="1" applyAlignment="1">
      <alignment horizontal="center" vertical="top" wrapText="1"/>
    </xf>
    <xf numFmtId="0" fontId="6" fillId="0" borderId="4" xfId="0" applyFont="1" applyBorder="1" applyAlignment="1">
      <alignment horizontal="center" vertical="top" wrapText="1"/>
    </xf>
    <xf numFmtId="0" fontId="6" fillId="0" borderId="13" xfId="0" applyFont="1" applyBorder="1" applyAlignment="1">
      <alignment horizontal="center" vertical="top" wrapText="1"/>
    </xf>
    <xf numFmtId="0" fontId="6" fillId="0" borderId="14" xfId="0" applyFont="1" applyBorder="1" applyAlignment="1">
      <alignment horizontal="center" vertical="top" wrapText="1"/>
    </xf>
    <xf numFmtId="0" fontId="6" fillId="0" borderId="12" xfId="0" applyFont="1" applyBorder="1" applyAlignment="1">
      <alignment horizontal="center"/>
    </xf>
    <xf numFmtId="0" fontId="6" fillId="0" borderId="13" xfId="0" applyFont="1" applyBorder="1" applyAlignment="1">
      <alignment horizontal="center"/>
    </xf>
    <xf numFmtId="0" fontId="0" fillId="0" borderId="0" xfId="0" applyBorder="1" applyAlignment="1">
      <alignment horizontal="center"/>
    </xf>
    <xf numFmtId="0" fontId="0" fillId="0" borderId="0" xfId="0" applyAlignment="1">
      <alignment horizontal="left"/>
    </xf>
    <xf numFmtId="0" fontId="0" fillId="0" borderId="10"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protection locked="0"/>
    </xf>
    <xf numFmtId="0" fontId="0" fillId="3" borderId="10" xfId="0" applyFill="1" applyBorder="1" applyAlignment="1" applyProtection="1">
      <alignment horizontal="left"/>
      <protection locked="0"/>
    </xf>
    <xf numFmtId="0" fontId="0" fillId="3" borderId="8" xfId="0" applyFill="1" applyBorder="1" applyAlignment="1" applyProtection="1">
      <alignment horizontal="left"/>
      <protection locked="0"/>
    </xf>
    <xf numFmtId="0" fontId="0" fillId="3" borderId="9" xfId="0" applyFill="1" applyBorder="1" applyAlignment="1" applyProtection="1">
      <alignment horizontal="left"/>
      <protection locked="0"/>
    </xf>
    <xf numFmtId="0" fontId="0" fillId="3" borderId="5" xfId="0" applyFill="1" applyBorder="1" applyAlignment="1">
      <alignment horizontal="left"/>
    </xf>
    <xf numFmtId="0" fontId="0" fillId="3" borderId="0" xfId="0" applyFill="1" applyBorder="1" applyAlignment="1">
      <alignment horizontal="left"/>
    </xf>
    <xf numFmtId="0" fontId="0" fillId="3" borderId="4" xfId="0" applyFill="1" applyBorder="1" applyAlignment="1">
      <alignment horizontal="left"/>
    </xf>
    <xf numFmtId="0" fontId="0" fillId="3" borderId="12" xfId="0" applyFill="1"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0" fontId="0" fillId="3" borderId="13" xfId="0" applyFill="1" applyBorder="1" applyAlignment="1">
      <alignment horizontal="left"/>
    </xf>
    <xf numFmtId="0" fontId="0" fillId="3" borderId="14" xfId="0" applyFill="1" applyBorder="1" applyAlignment="1">
      <alignment horizontal="left"/>
    </xf>
    <xf numFmtId="0" fontId="0" fillId="0" borderId="1" xfId="0" applyBorder="1" applyAlignment="1" applyProtection="1">
      <alignment horizontal="left" vertical="top" wrapText="1"/>
      <protection locked="0"/>
    </xf>
    <xf numFmtId="0" fontId="0" fillId="0" borderId="5" xfId="0" applyBorder="1" applyAlignment="1">
      <alignment horizontal="left"/>
    </xf>
    <xf numFmtId="0" fontId="0" fillId="0" borderId="0" xfId="0" applyBorder="1" applyAlignment="1">
      <alignment horizontal="left"/>
    </xf>
    <xf numFmtId="0" fontId="0" fillId="0" borderId="4" xfId="0" applyBorder="1" applyAlignment="1">
      <alignment horizontal="left"/>
    </xf>
    <xf numFmtId="0" fontId="0" fillId="0" borderId="12" xfId="0"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5" fillId="7" borderId="1" xfId="0" applyFont="1" applyFill="1" applyBorder="1" applyAlignment="1">
      <alignment horizontal="center"/>
    </xf>
    <xf numFmtId="0" fontId="5" fillId="7" borderId="2" xfId="0" applyFont="1" applyFill="1" applyBorder="1" applyAlignment="1">
      <alignment horizontal="center"/>
    </xf>
    <xf numFmtId="0" fontId="5" fillId="7" borderId="3" xfId="0" applyFont="1" applyFill="1" applyBorder="1" applyAlignment="1">
      <alignment horizontal="center"/>
    </xf>
    <xf numFmtId="0" fontId="0" fillId="0" borderId="0" xfId="0" applyAlignment="1" applyProtection="1">
      <alignment horizontal="left"/>
    </xf>
    <xf numFmtId="0" fontId="9" fillId="3" borderId="12" xfId="0" applyFont="1" applyFill="1" applyBorder="1" applyAlignment="1">
      <alignment horizontal="left"/>
    </xf>
    <xf numFmtId="0" fontId="0" fillId="3" borderId="1" xfId="0" applyFill="1" applyBorder="1" applyAlignment="1">
      <alignment horizontal="left" vertical="top"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3" borderId="5" xfId="0" applyFill="1" applyBorder="1" applyAlignment="1">
      <alignment horizontal="left" vertical="top" wrapText="1"/>
    </xf>
    <xf numFmtId="0" fontId="0" fillId="3" borderId="0" xfId="0" applyFill="1" applyBorder="1" applyAlignment="1">
      <alignment horizontal="left" vertical="top" wrapText="1"/>
    </xf>
    <xf numFmtId="0" fontId="0" fillId="3" borderId="4" xfId="0" applyFill="1" applyBorder="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wrapText="1"/>
    </xf>
    <xf numFmtId="0" fontId="0" fillId="3" borderId="14" xfId="0" applyFill="1" applyBorder="1" applyAlignment="1">
      <alignment horizontal="left" vertical="top" wrapText="1"/>
    </xf>
    <xf numFmtId="0" fontId="0" fillId="0" borderId="0" xfId="0" applyBorder="1" applyAlignment="1" applyProtection="1">
      <alignment horizontal="left"/>
    </xf>
    <xf numFmtId="0" fontId="6" fillId="0" borderId="0" xfId="0" applyFont="1" applyBorder="1" applyAlignment="1" applyProtection="1">
      <alignment horizontal="left"/>
    </xf>
  </cellXfs>
  <cellStyles count="2">
    <cellStyle name="Hyperlink" xfId="1" builtinId="8"/>
    <cellStyle name="Normal" xfId="0" builtinId="0"/>
  </cellStyles>
  <dxfs count="0"/>
  <tableStyles count="0" defaultTableStyle="TableStyleMedium9" defaultPivotStyle="PivotStyleLight16"/>
  <colors>
    <mruColors>
      <color rgb="FFFFFF66"/>
      <color rgb="FFFFFF99"/>
      <color rgb="FF008000"/>
      <color rgb="FF99FF99"/>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2</xdr:row>
      <xdr:rowOff>47625</xdr:rowOff>
    </xdr:from>
    <xdr:to>
      <xdr:col>2</xdr:col>
      <xdr:colOff>219075</xdr:colOff>
      <xdr:row>4</xdr:row>
      <xdr:rowOff>152400</xdr:rowOff>
    </xdr:to>
    <xdr:pic>
      <xdr:nvPicPr>
        <xdr:cNvPr id="1262" name="Picture 2" descr="Blue Gold Logo 2.jpg">
          <a:extLst>
            <a:ext uri="{FF2B5EF4-FFF2-40B4-BE49-F238E27FC236}">
              <a16:creationId xmlns:a16="http://schemas.microsoft.com/office/drawing/2014/main" id="{00000000-0008-0000-0000-0000EE040000}"/>
            </a:ext>
          </a:extLst>
        </xdr:cNvPr>
        <xdr:cNvPicPr>
          <a:picLocks noChangeAspect="1"/>
        </xdr:cNvPicPr>
      </xdr:nvPicPr>
      <xdr:blipFill>
        <a:blip xmlns:r="http://schemas.openxmlformats.org/officeDocument/2006/relationships" r:embed="rId1"/>
        <a:srcRect/>
        <a:stretch>
          <a:fillRect/>
        </a:stretch>
      </xdr:blipFill>
      <xdr:spPr bwMode="auto">
        <a:xfrm>
          <a:off x="114300" y="276225"/>
          <a:ext cx="1371600" cy="4857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3175</xdr:colOff>
      <xdr:row>68</xdr:row>
      <xdr:rowOff>0</xdr:rowOff>
    </xdr:from>
    <xdr:to>
      <xdr:col>7</xdr:col>
      <xdr:colOff>73025</xdr:colOff>
      <xdr:row>69</xdr:row>
      <xdr:rowOff>38100</xdr:rowOff>
    </xdr:to>
    <xdr:sp macro="" textlink="">
      <xdr:nvSpPr>
        <xdr:cNvPr id="20511" name="Text Box 3">
          <a:extLst>
            <a:ext uri="{FF2B5EF4-FFF2-40B4-BE49-F238E27FC236}">
              <a16:creationId xmlns:a16="http://schemas.microsoft.com/office/drawing/2014/main" id="{00000000-0008-0000-0400-00001F500000}"/>
            </a:ext>
          </a:extLst>
        </xdr:cNvPr>
        <xdr:cNvSpPr txBox="1">
          <a:spLocks noChangeArrowheads="1"/>
        </xdr:cNvSpPr>
      </xdr:nvSpPr>
      <xdr:spPr bwMode="auto">
        <a:xfrm>
          <a:off x="4225925" y="11017250"/>
          <a:ext cx="69850" cy="196850"/>
        </a:xfrm>
        <a:prstGeom prst="rect">
          <a:avLst/>
        </a:prstGeom>
        <a:noFill/>
        <a:ln w="9525">
          <a:noFill/>
          <a:miter lim="800000"/>
          <a:headEnd/>
          <a:tailEnd/>
        </a:ln>
      </xdr:spPr>
    </xdr:sp>
    <xdr:clientData/>
  </xdr:twoCellAnchor>
  <xdr:twoCellAnchor editAs="oneCell">
    <xdr:from>
      <xdr:col>0</xdr:col>
      <xdr:colOff>0</xdr:colOff>
      <xdr:row>87</xdr:row>
      <xdr:rowOff>0</xdr:rowOff>
    </xdr:from>
    <xdr:to>
      <xdr:col>0</xdr:col>
      <xdr:colOff>28575</xdr:colOff>
      <xdr:row>88</xdr:row>
      <xdr:rowOff>104775</xdr:rowOff>
    </xdr:to>
    <xdr:sp macro="" textlink="">
      <xdr:nvSpPr>
        <xdr:cNvPr id="20512" name="Text Box 4">
          <a:extLst>
            <a:ext uri="{FF2B5EF4-FFF2-40B4-BE49-F238E27FC236}">
              <a16:creationId xmlns:a16="http://schemas.microsoft.com/office/drawing/2014/main" id="{00000000-0008-0000-0400-000020500000}"/>
            </a:ext>
          </a:extLst>
        </xdr:cNvPr>
        <xdr:cNvSpPr txBox="1">
          <a:spLocks noChangeArrowheads="1"/>
        </xdr:cNvSpPr>
      </xdr:nvSpPr>
      <xdr:spPr bwMode="auto">
        <a:xfrm>
          <a:off x="0" y="8782050"/>
          <a:ext cx="28575" cy="104775"/>
        </a:xfrm>
        <a:prstGeom prst="rect">
          <a:avLst/>
        </a:prstGeom>
        <a:noFill/>
        <a:ln w="9525">
          <a:noFill/>
          <a:miter lim="800000"/>
          <a:headEnd/>
          <a:tailEnd/>
        </a:ln>
      </xdr:spPr>
    </xdr:sp>
    <xdr:clientData/>
  </xdr:twoCellAnchor>
  <xdr:oneCellAnchor>
    <xdr:from>
      <xdr:col>6</xdr:col>
      <xdr:colOff>590550</xdr:colOff>
      <xdr:row>90</xdr:row>
      <xdr:rowOff>0</xdr:rowOff>
    </xdr:from>
    <xdr:ext cx="76200" cy="200025"/>
    <xdr:sp macro="" textlink="">
      <xdr:nvSpPr>
        <xdr:cNvPr id="7" name="Text Box 3">
          <a:extLst>
            <a:ext uri="{FF2B5EF4-FFF2-40B4-BE49-F238E27FC236}">
              <a16:creationId xmlns:a16="http://schemas.microsoft.com/office/drawing/2014/main" id="{00000000-0008-0000-0400-000007000000}"/>
            </a:ext>
          </a:extLst>
        </xdr:cNvPr>
        <xdr:cNvSpPr txBox="1">
          <a:spLocks noChangeArrowheads="1"/>
        </xdr:cNvSpPr>
      </xdr:nvSpPr>
      <xdr:spPr bwMode="auto">
        <a:xfrm>
          <a:off x="4248150" y="1209675"/>
          <a:ext cx="76200" cy="200025"/>
        </a:xfrm>
        <a:prstGeom prst="rect">
          <a:avLst/>
        </a:prstGeom>
        <a:noFill/>
        <a:ln w="9525">
          <a:noFill/>
          <a:miter lim="800000"/>
          <a:headEnd/>
          <a:tailEnd/>
        </a:ln>
      </xdr:spPr>
    </xdr:sp>
    <xdr:clientData/>
  </xdr:oneCellAnchor>
  <xdr:oneCellAnchor>
    <xdr:from>
      <xdr:col>0</xdr:col>
      <xdr:colOff>0</xdr:colOff>
      <xdr:row>90</xdr:row>
      <xdr:rowOff>0</xdr:rowOff>
    </xdr:from>
    <xdr:ext cx="28575" cy="104775"/>
    <xdr:sp macro="" textlink="">
      <xdr:nvSpPr>
        <xdr:cNvPr id="8" name="Text Box 4">
          <a:extLst>
            <a:ext uri="{FF2B5EF4-FFF2-40B4-BE49-F238E27FC236}">
              <a16:creationId xmlns:a16="http://schemas.microsoft.com/office/drawing/2014/main" id="{00000000-0008-0000-0400-000008000000}"/>
            </a:ext>
          </a:extLst>
        </xdr:cNvPr>
        <xdr:cNvSpPr txBox="1">
          <a:spLocks noChangeArrowheads="1"/>
        </xdr:cNvSpPr>
      </xdr:nvSpPr>
      <xdr:spPr bwMode="auto">
        <a:xfrm>
          <a:off x="0" y="1209675"/>
          <a:ext cx="28575" cy="10477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6</xdr:col>
      <xdr:colOff>590550</xdr:colOff>
      <xdr:row>229</xdr:row>
      <xdr:rowOff>0</xdr:rowOff>
    </xdr:from>
    <xdr:to>
      <xdr:col>7</xdr:col>
      <xdr:colOff>57150</xdr:colOff>
      <xdr:row>230</xdr:row>
      <xdr:rowOff>0</xdr:rowOff>
    </xdr:to>
    <xdr:sp macro="" textlink="">
      <xdr:nvSpPr>
        <xdr:cNvPr id="19747" name="Text Box 3">
          <a:extLst>
            <a:ext uri="{FF2B5EF4-FFF2-40B4-BE49-F238E27FC236}">
              <a16:creationId xmlns:a16="http://schemas.microsoft.com/office/drawing/2014/main" id="{00000000-0008-0000-0500-0000234D0000}"/>
            </a:ext>
          </a:extLst>
        </xdr:cNvPr>
        <xdr:cNvSpPr txBox="1">
          <a:spLocks noChangeArrowheads="1"/>
        </xdr:cNvSpPr>
      </xdr:nvSpPr>
      <xdr:spPr bwMode="auto">
        <a:xfrm>
          <a:off x="4257675" y="51711225"/>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48" name="Text Box 4">
          <a:extLst>
            <a:ext uri="{FF2B5EF4-FFF2-40B4-BE49-F238E27FC236}">
              <a16:creationId xmlns:a16="http://schemas.microsoft.com/office/drawing/2014/main" id="{00000000-0008-0000-0500-0000244D0000}"/>
            </a:ext>
          </a:extLst>
        </xdr:cNvPr>
        <xdr:cNvSpPr txBox="1">
          <a:spLocks noChangeArrowheads="1"/>
        </xdr:cNvSpPr>
      </xdr:nvSpPr>
      <xdr:spPr bwMode="auto">
        <a:xfrm>
          <a:off x="0" y="51711225"/>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49" name="Text Box 3">
          <a:extLst>
            <a:ext uri="{FF2B5EF4-FFF2-40B4-BE49-F238E27FC236}">
              <a16:creationId xmlns:a16="http://schemas.microsoft.com/office/drawing/2014/main" id="{00000000-0008-0000-0500-0000254D0000}"/>
            </a:ext>
          </a:extLst>
        </xdr:cNvPr>
        <xdr:cNvSpPr txBox="1">
          <a:spLocks noChangeArrowheads="1"/>
        </xdr:cNvSpPr>
      </xdr:nvSpPr>
      <xdr:spPr bwMode="auto">
        <a:xfrm>
          <a:off x="4257675" y="43281600"/>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50" name="Text Box 4">
          <a:extLst>
            <a:ext uri="{FF2B5EF4-FFF2-40B4-BE49-F238E27FC236}">
              <a16:creationId xmlns:a16="http://schemas.microsoft.com/office/drawing/2014/main" id="{00000000-0008-0000-0500-0000264D0000}"/>
            </a:ext>
          </a:extLst>
        </xdr:cNvPr>
        <xdr:cNvSpPr txBox="1">
          <a:spLocks noChangeArrowheads="1"/>
        </xdr:cNvSpPr>
      </xdr:nvSpPr>
      <xdr:spPr bwMode="auto">
        <a:xfrm>
          <a:off x="0" y="43281600"/>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51" name="Text Box 3">
          <a:extLst>
            <a:ext uri="{FF2B5EF4-FFF2-40B4-BE49-F238E27FC236}">
              <a16:creationId xmlns:a16="http://schemas.microsoft.com/office/drawing/2014/main" id="{00000000-0008-0000-0500-0000274D0000}"/>
            </a:ext>
          </a:extLst>
        </xdr:cNvPr>
        <xdr:cNvSpPr txBox="1">
          <a:spLocks noChangeArrowheads="1"/>
        </xdr:cNvSpPr>
      </xdr:nvSpPr>
      <xdr:spPr bwMode="auto">
        <a:xfrm>
          <a:off x="4257675" y="34794825"/>
          <a:ext cx="76200" cy="200025"/>
        </a:xfrm>
        <a:prstGeom prst="rect">
          <a:avLst/>
        </a:prstGeom>
        <a:noFill/>
        <a:ln w="9525">
          <a:noFill/>
          <a:miter lim="800000"/>
          <a:headEnd/>
          <a:tailEnd/>
        </a:ln>
      </xdr:spPr>
    </xdr:sp>
    <xdr:clientData/>
  </xdr:twoCellAnchor>
  <xdr:twoCellAnchor editAs="oneCell">
    <xdr:from>
      <xdr:col>1</xdr:col>
      <xdr:colOff>247650</xdr:colOff>
      <xdr:row>229</xdr:row>
      <xdr:rowOff>0</xdr:rowOff>
    </xdr:from>
    <xdr:to>
      <xdr:col>1</xdr:col>
      <xdr:colOff>276225</xdr:colOff>
      <xdr:row>229</xdr:row>
      <xdr:rowOff>104775</xdr:rowOff>
    </xdr:to>
    <xdr:sp macro="" textlink="">
      <xdr:nvSpPr>
        <xdr:cNvPr id="19752" name="Text Box 4">
          <a:extLst>
            <a:ext uri="{FF2B5EF4-FFF2-40B4-BE49-F238E27FC236}">
              <a16:creationId xmlns:a16="http://schemas.microsoft.com/office/drawing/2014/main" id="{00000000-0008-0000-0500-0000284D0000}"/>
            </a:ext>
          </a:extLst>
        </xdr:cNvPr>
        <xdr:cNvSpPr txBox="1">
          <a:spLocks noChangeArrowheads="1"/>
        </xdr:cNvSpPr>
      </xdr:nvSpPr>
      <xdr:spPr bwMode="auto">
        <a:xfrm>
          <a:off x="942975" y="34851975"/>
          <a:ext cx="28575" cy="104775"/>
        </a:xfrm>
        <a:prstGeom prst="rect">
          <a:avLst/>
        </a:prstGeom>
        <a:noFill/>
        <a:ln w="9525">
          <a:noFill/>
          <a:miter lim="800000"/>
          <a:headEnd/>
          <a:tailEnd/>
        </a:ln>
      </xdr:spPr>
    </xdr:sp>
    <xdr:clientData/>
  </xdr:twoCellAnchor>
  <xdr:twoCellAnchor editAs="oneCell">
    <xdr:from>
      <xdr:col>6</xdr:col>
      <xdr:colOff>590550</xdr:colOff>
      <xdr:row>177</xdr:row>
      <xdr:rowOff>0</xdr:rowOff>
    </xdr:from>
    <xdr:to>
      <xdr:col>7</xdr:col>
      <xdr:colOff>57150</xdr:colOff>
      <xdr:row>178</xdr:row>
      <xdr:rowOff>95250</xdr:rowOff>
    </xdr:to>
    <xdr:sp macro="" textlink="">
      <xdr:nvSpPr>
        <xdr:cNvPr id="19753" name="Text Box 3">
          <a:extLst>
            <a:ext uri="{FF2B5EF4-FFF2-40B4-BE49-F238E27FC236}">
              <a16:creationId xmlns:a16="http://schemas.microsoft.com/office/drawing/2014/main" id="{00000000-0008-0000-0500-0000294D0000}"/>
            </a:ext>
          </a:extLst>
        </xdr:cNvPr>
        <xdr:cNvSpPr txBox="1">
          <a:spLocks noChangeArrowheads="1"/>
        </xdr:cNvSpPr>
      </xdr:nvSpPr>
      <xdr:spPr bwMode="auto">
        <a:xfrm>
          <a:off x="4257675" y="26831925"/>
          <a:ext cx="76200" cy="200025"/>
        </a:xfrm>
        <a:prstGeom prst="rect">
          <a:avLst/>
        </a:prstGeom>
        <a:noFill/>
        <a:ln w="9525">
          <a:noFill/>
          <a:miter lim="800000"/>
          <a:headEnd/>
          <a:tailEnd/>
        </a:ln>
      </xdr:spPr>
    </xdr:sp>
    <xdr:clientData/>
  </xdr:twoCellAnchor>
  <xdr:twoCellAnchor editAs="oneCell">
    <xdr:from>
      <xdr:col>0</xdr:col>
      <xdr:colOff>0</xdr:colOff>
      <xdr:row>177</xdr:row>
      <xdr:rowOff>0</xdr:rowOff>
    </xdr:from>
    <xdr:to>
      <xdr:col>0</xdr:col>
      <xdr:colOff>28575</xdr:colOff>
      <xdr:row>178</xdr:row>
      <xdr:rowOff>3175</xdr:rowOff>
    </xdr:to>
    <xdr:sp macro="" textlink="">
      <xdr:nvSpPr>
        <xdr:cNvPr id="19754" name="Text Box 4">
          <a:extLst>
            <a:ext uri="{FF2B5EF4-FFF2-40B4-BE49-F238E27FC236}">
              <a16:creationId xmlns:a16="http://schemas.microsoft.com/office/drawing/2014/main" id="{00000000-0008-0000-0500-00002A4D0000}"/>
            </a:ext>
          </a:extLst>
        </xdr:cNvPr>
        <xdr:cNvSpPr txBox="1">
          <a:spLocks noChangeArrowheads="1"/>
        </xdr:cNvSpPr>
      </xdr:nvSpPr>
      <xdr:spPr bwMode="auto">
        <a:xfrm>
          <a:off x="0" y="26831925"/>
          <a:ext cx="28575" cy="104775"/>
        </a:xfrm>
        <a:prstGeom prst="rect">
          <a:avLst/>
        </a:prstGeom>
        <a:noFill/>
        <a:ln w="9525">
          <a:noFill/>
          <a:miter lim="800000"/>
          <a:headEnd/>
          <a:tailEnd/>
        </a:ln>
      </xdr:spPr>
    </xdr:sp>
    <xdr:clientData/>
  </xdr:twoCellAnchor>
  <xdr:twoCellAnchor editAs="oneCell">
    <xdr:from>
      <xdr:col>6</xdr:col>
      <xdr:colOff>590550</xdr:colOff>
      <xdr:row>176</xdr:row>
      <xdr:rowOff>0</xdr:rowOff>
    </xdr:from>
    <xdr:to>
      <xdr:col>7</xdr:col>
      <xdr:colOff>57150</xdr:colOff>
      <xdr:row>177</xdr:row>
      <xdr:rowOff>0</xdr:rowOff>
    </xdr:to>
    <xdr:sp macro="" textlink="">
      <xdr:nvSpPr>
        <xdr:cNvPr id="19755" name="Text Box 3">
          <a:extLst>
            <a:ext uri="{FF2B5EF4-FFF2-40B4-BE49-F238E27FC236}">
              <a16:creationId xmlns:a16="http://schemas.microsoft.com/office/drawing/2014/main" id="{00000000-0008-0000-0500-00002B4D0000}"/>
            </a:ext>
          </a:extLst>
        </xdr:cNvPr>
        <xdr:cNvSpPr txBox="1">
          <a:spLocks noChangeArrowheads="1"/>
        </xdr:cNvSpPr>
      </xdr:nvSpPr>
      <xdr:spPr bwMode="auto">
        <a:xfrm>
          <a:off x="4257675" y="26279475"/>
          <a:ext cx="76200" cy="200025"/>
        </a:xfrm>
        <a:prstGeom prst="rect">
          <a:avLst/>
        </a:prstGeom>
        <a:noFill/>
        <a:ln w="9525">
          <a:noFill/>
          <a:miter lim="800000"/>
          <a:headEnd/>
          <a:tailEnd/>
        </a:ln>
      </xdr:spPr>
    </xdr:sp>
    <xdr:clientData/>
  </xdr:twoCellAnchor>
  <xdr:twoCellAnchor editAs="oneCell">
    <xdr:from>
      <xdr:col>0</xdr:col>
      <xdr:colOff>0</xdr:colOff>
      <xdr:row>176</xdr:row>
      <xdr:rowOff>0</xdr:rowOff>
    </xdr:from>
    <xdr:to>
      <xdr:col>0</xdr:col>
      <xdr:colOff>28575</xdr:colOff>
      <xdr:row>176</xdr:row>
      <xdr:rowOff>104775</xdr:rowOff>
    </xdr:to>
    <xdr:sp macro="" textlink="">
      <xdr:nvSpPr>
        <xdr:cNvPr id="19756" name="Text Box 4">
          <a:extLst>
            <a:ext uri="{FF2B5EF4-FFF2-40B4-BE49-F238E27FC236}">
              <a16:creationId xmlns:a16="http://schemas.microsoft.com/office/drawing/2014/main" id="{00000000-0008-0000-0500-00002C4D0000}"/>
            </a:ext>
          </a:extLst>
        </xdr:cNvPr>
        <xdr:cNvSpPr txBox="1">
          <a:spLocks noChangeArrowheads="1"/>
        </xdr:cNvSpPr>
      </xdr:nvSpPr>
      <xdr:spPr bwMode="auto">
        <a:xfrm>
          <a:off x="0" y="26279475"/>
          <a:ext cx="28575" cy="104775"/>
        </a:xfrm>
        <a:prstGeom prst="rect">
          <a:avLst/>
        </a:prstGeom>
        <a:noFill/>
        <a:ln w="9525">
          <a:noFill/>
          <a:miter lim="800000"/>
          <a:headEnd/>
          <a:tailEnd/>
        </a:ln>
      </xdr:spPr>
    </xdr:sp>
    <xdr:clientData/>
  </xdr:twoCellAnchor>
  <xdr:oneCellAnchor>
    <xdr:from>
      <xdr:col>6</xdr:col>
      <xdr:colOff>590550</xdr:colOff>
      <xdr:row>229</xdr:row>
      <xdr:rowOff>0</xdr:rowOff>
    </xdr:from>
    <xdr:ext cx="76200" cy="200025"/>
    <xdr:sp macro="" textlink="">
      <xdr:nvSpPr>
        <xdr:cNvPr id="13" name="Text Box 3">
          <a:extLst>
            <a:ext uri="{FF2B5EF4-FFF2-40B4-BE49-F238E27FC236}">
              <a16:creationId xmlns:a16="http://schemas.microsoft.com/office/drawing/2014/main" id="{00000000-0008-0000-0500-00000D000000}"/>
            </a:ext>
          </a:extLst>
        </xdr:cNvPr>
        <xdr:cNvSpPr txBox="1">
          <a:spLocks noChangeArrowheads="1"/>
        </xdr:cNvSpPr>
      </xdr:nvSpPr>
      <xdr:spPr bwMode="auto">
        <a:xfrm>
          <a:off x="4257675" y="355092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9" name="Text Box 3">
          <a:extLst>
            <a:ext uri="{FF2B5EF4-FFF2-40B4-BE49-F238E27FC236}">
              <a16:creationId xmlns:a16="http://schemas.microsoft.com/office/drawing/2014/main" id="{00000000-0008-0000-0500-00001D000000}"/>
            </a:ext>
          </a:extLst>
        </xdr:cNvPr>
        <xdr:cNvSpPr txBox="1">
          <a:spLocks noChangeArrowheads="1"/>
        </xdr:cNvSpPr>
      </xdr:nvSpPr>
      <xdr:spPr bwMode="auto">
        <a:xfrm>
          <a:off x="4257675" y="48806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30" name="Text Box 4">
          <a:extLst>
            <a:ext uri="{FF2B5EF4-FFF2-40B4-BE49-F238E27FC236}">
              <a16:creationId xmlns:a16="http://schemas.microsoft.com/office/drawing/2014/main" id="{00000000-0008-0000-0500-00001E000000}"/>
            </a:ext>
          </a:extLst>
        </xdr:cNvPr>
        <xdr:cNvSpPr txBox="1">
          <a:spLocks noChangeArrowheads="1"/>
        </xdr:cNvSpPr>
      </xdr:nvSpPr>
      <xdr:spPr bwMode="auto">
        <a:xfrm>
          <a:off x="0" y="48806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1" name="Text Box 3">
          <a:extLst>
            <a:ext uri="{FF2B5EF4-FFF2-40B4-BE49-F238E27FC236}">
              <a16:creationId xmlns:a16="http://schemas.microsoft.com/office/drawing/2014/main" id="{00000000-0008-0000-0500-00001F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2" name="Text Box 3">
          <a:extLst>
            <a:ext uri="{FF2B5EF4-FFF2-40B4-BE49-F238E27FC236}">
              <a16:creationId xmlns:a16="http://schemas.microsoft.com/office/drawing/2014/main" id="{00000000-0008-0000-0500-000020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5" name="Text Box 3">
          <a:extLst>
            <a:ext uri="{FF2B5EF4-FFF2-40B4-BE49-F238E27FC236}">
              <a16:creationId xmlns:a16="http://schemas.microsoft.com/office/drawing/2014/main" id="{00000000-0008-0000-0500-000019000000}"/>
            </a:ext>
          </a:extLst>
        </xdr:cNvPr>
        <xdr:cNvSpPr txBox="1">
          <a:spLocks noChangeArrowheads="1"/>
        </xdr:cNvSpPr>
      </xdr:nvSpPr>
      <xdr:spPr bwMode="auto">
        <a:xfrm>
          <a:off x="4257675" y="502729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6" name="Text Box 4">
          <a:extLst>
            <a:ext uri="{FF2B5EF4-FFF2-40B4-BE49-F238E27FC236}">
              <a16:creationId xmlns:a16="http://schemas.microsoft.com/office/drawing/2014/main" id="{00000000-0008-0000-0500-00001A000000}"/>
            </a:ext>
          </a:extLst>
        </xdr:cNvPr>
        <xdr:cNvSpPr txBox="1">
          <a:spLocks noChangeArrowheads="1"/>
        </xdr:cNvSpPr>
      </xdr:nvSpPr>
      <xdr:spPr bwMode="auto">
        <a:xfrm>
          <a:off x="0" y="502729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27" name="Text Box 3">
          <a:extLst>
            <a:ext uri="{FF2B5EF4-FFF2-40B4-BE49-F238E27FC236}">
              <a16:creationId xmlns:a16="http://schemas.microsoft.com/office/drawing/2014/main" id="{00000000-0008-0000-0500-00001B000000}"/>
            </a:ext>
          </a:extLst>
        </xdr:cNvPr>
        <xdr:cNvSpPr txBox="1">
          <a:spLocks noChangeArrowheads="1"/>
        </xdr:cNvSpPr>
      </xdr:nvSpPr>
      <xdr:spPr bwMode="auto">
        <a:xfrm>
          <a:off x="4257675" y="462153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8" name="Text Box 4">
          <a:extLst>
            <a:ext uri="{FF2B5EF4-FFF2-40B4-BE49-F238E27FC236}">
              <a16:creationId xmlns:a16="http://schemas.microsoft.com/office/drawing/2014/main" id="{00000000-0008-0000-0500-00001C000000}"/>
            </a:ext>
          </a:extLst>
        </xdr:cNvPr>
        <xdr:cNvSpPr txBox="1">
          <a:spLocks noChangeArrowheads="1"/>
        </xdr:cNvSpPr>
      </xdr:nvSpPr>
      <xdr:spPr bwMode="auto">
        <a:xfrm>
          <a:off x="0" y="462153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3" name="Text Box 3">
          <a:extLst>
            <a:ext uri="{FF2B5EF4-FFF2-40B4-BE49-F238E27FC236}">
              <a16:creationId xmlns:a16="http://schemas.microsoft.com/office/drawing/2014/main" id="{00000000-0008-0000-0500-000021000000}"/>
            </a:ext>
          </a:extLst>
        </xdr:cNvPr>
        <xdr:cNvSpPr txBox="1">
          <a:spLocks noChangeArrowheads="1"/>
        </xdr:cNvSpPr>
      </xdr:nvSpPr>
      <xdr:spPr bwMode="auto">
        <a:xfrm>
          <a:off x="4257675" y="462153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3" name="Text Box 3">
          <a:extLst>
            <a:ext uri="{FF2B5EF4-FFF2-40B4-BE49-F238E27FC236}">
              <a16:creationId xmlns:a16="http://schemas.microsoft.com/office/drawing/2014/main" id="{00000000-0008-0000-0500-00002B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4" name="Text Box 4">
          <a:extLst>
            <a:ext uri="{FF2B5EF4-FFF2-40B4-BE49-F238E27FC236}">
              <a16:creationId xmlns:a16="http://schemas.microsoft.com/office/drawing/2014/main" id="{00000000-0008-0000-0500-00002C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5" name="Text Box 3">
          <a:extLst>
            <a:ext uri="{FF2B5EF4-FFF2-40B4-BE49-F238E27FC236}">
              <a16:creationId xmlns:a16="http://schemas.microsoft.com/office/drawing/2014/main" id="{00000000-0008-0000-0500-00002D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6" name="Text Box 3">
          <a:extLst>
            <a:ext uri="{FF2B5EF4-FFF2-40B4-BE49-F238E27FC236}">
              <a16:creationId xmlns:a16="http://schemas.microsoft.com/office/drawing/2014/main" id="{00000000-0008-0000-0500-00002E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7" name="Text Box 3">
          <a:extLst>
            <a:ext uri="{FF2B5EF4-FFF2-40B4-BE49-F238E27FC236}">
              <a16:creationId xmlns:a16="http://schemas.microsoft.com/office/drawing/2014/main" id="{00000000-0008-0000-0500-00002F000000}"/>
            </a:ext>
          </a:extLst>
        </xdr:cNvPr>
        <xdr:cNvSpPr txBox="1">
          <a:spLocks noChangeArrowheads="1"/>
        </xdr:cNvSpPr>
      </xdr:nvSpPr>
      <xdr:spPr bwMode="auto">
        <a:xfrm>
          <a:off x="4257675" y="58712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8" name="Text Box 4">
          <a:extLst>
            <a:ext uri="{FF2B5EF4-FFF2-40B4-BE49-F238E27FC236}">
              <a16:creationId xmlns:a16="http://schemas.microsoft.com/office/drawing/2014/main" id="{00000000-0008-0000-0500-000030000000}"/>
            </a:ext>
          </a:extLst>
        </xdr:cNvPr>
        <xdr:cNvSpPr txBox="1">
          <a:spLocks noChangeArrowheads="1"/>
        </xdr:cNvSpPr>
      </xdr:nvSpPr>
      <xdr:spPr bwMode="auto">
        <a:xfrm>
          <a:off x="0" y="58712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49" name="Text Box 3">
          <a:extLst>
            <a:ext uri="{FF2B5EF4-FFF2-40B4-BE49-F238E27FC236}">
              <a16:creationId xmlns:a16="http://schemas.microsoft.com/office/drawing/2014/main" id="{00000000-0008-0000-0500-000031000000}"/>
            </a:ext>
          </a:extLst>
        </xdr:cNvPr>
        <xdr:cNvSpPr txBox="1">
          <a:spLocks noChangeArrowheads="1"/>
        </xdr:cNvSpPr>
      </xdr:nvSpPr>
      <xdr:spPr bwMode="auto">
        <a:xfrm>
          <a:off x="4257675" y="555688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50" name="Text Box 4">
          <a:extLst>
            <a:ext uri="{FF2B5EF4-FFF2-40B4-BE49-F238E27FC236}">
              <a16:creationId xmlns:a16="http://schemas.microsoft.com/office/drawing/2014/main" id="{00000000-0008-0000-0500-000032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51" name="Text Box 3">
          <a:extLst>
            <a:ext uri="{FF2B5EF4-FFF2-40B4-BE49-F238E27FC236}">
              <a16:creationId xmlns:a16="http://schemas.microsoft.com/office/drawing/2014/main" id="{00000000-0008-0000-0500-000033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1" name="Text Box 3">
          <a:extLst>
            <a:ext uri="{FF2B5EF4-FFF2-40B4-BE49-F238E27FC236}">
              <a16:creationId xmlns:a16="http://schemas.microsoft.com/office/drawing/2014/main" id="{00000000-0008-0000-0500-00003D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2" name="Text Box 4">
          <a:extLst>
            <a:ext uri="{FF2B5EF4-FFF2-40B4-BE49-F238E27FC236}">
              <a16:creationId xmlns:a16="http://schemas.microsoft.com/office/drawing/2014/main" id="{00000000-0008-0000-0500-00003E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3" name="Text Box 3">
          <a:extLst>
            <a:ext uri="{FF2B5EF4-FFF2-40B4-BE49-F238E27FC236}">
              <a16:creationId xmlns:a16="http://schemas.microsoft.com/office/drawing/2014/main" id="{00000000-0008-0000-0500-00003F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4" name="Text Box 3">
          <a:extLst>
            <a:ext uri="{FF2B5EF4-FFF2-40B4-BE49-F238E27FC236}">
              <a16:creationId xmlns:a16="http://schemas.microsoft.com/office/drawing/2014/main" id="{00000000-0008-0000-0500-000040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5" name="Text Box 3">
          <a:extLst>
            <a:ext uri="{FF2B5EF4-FFF2-40B4-BE49-F238E27FC236}">
              <a16:creationId xmlns:a16="http://schemas.microsoft.com/office/drawing/2014/main" id="{00000000-0008-0000-0500-000041000000}"/>
            </a:ext>
          </a:extLst>
        </xdr:cNvPr>
        <xdr:cNvSpPr txBox="1">
          <a:spLocks noChangeArrowheads="1"/>
        </xdr:cNvSpPr>
      </xdr:nvSpPr>
      <xdr:spPr bwMode="auto">
        <a:xfrm>
          <a:off x="4257675" y="681704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6" name="Text Box 4">
          <a:extLst>
            <a:ext uri="{FF2B5EF4-FFF2-40B4-BE49-F238E27FC236}">
              <a16:creationId xmlns:a16="http://schemas.microsoft.com/office/drawing/2014/main" id="{00000000-0008-0000-0500-000042000000}"/>
            </a:ext>
          </a:extLst>
        </xdr:cNvPr>
        <xdr:cNvSpPr txBox="1">
          <a:spLocks noChangeArrowheads="1"/>
        </xdr:cNvSpPr>
      </xdr:nvSpPr>
      <xdr:spPr bwMode="auto">
        <a:xfrm>
          <a:off x="0" y="681704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67" name="Text Box 3">
          <a:extLst>
            <a:ext uri="{FF2B5EF4-FFF2-40B4-BE49-F238E27FC236}">
              <a16:creationId xmlns:a16="http://schemas.microsoft.com/office/drawing/2014/main" id="{00000000-0008-0000-0500-000043000000}"/>
            </a:ext>
          </a:extLst>
        </xdr:cNvPr>
        <xdr:cNvSpPr txBox="1">
          <a:spLocks noChangeArrowheads="1"/>
        </xdr:cNvSpPr>
      </xdr:nvSpPr>
      <xdr:spPr bwMode="auto">
        <a:xfrm>
          <a:off x="4257675" y="6502717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8" name="Text Box 4">
          <a:extLst>
            <a:ext uri="{FF2B5EF4-FFF2-40B4-BE49-F238E27FC236}">
              <a16:creationId xmlns:a16="http://schemas.microsoft.com/office/drawing/2014/main" id="{00000000-0008-0000-0500-000044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9" name="Text Box 3">
          <a:extLst>
            <a:ext uri="{FF2B5EF4-FFF2-40B4-BE49-F238E27FC236}">
              <a16:creationId xmlns:a16="http://schemas.microsoft.com/office/drawing/2014/main" id="{00000000-0008-0000-0500-000045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79" name="Text Box 3">
          <a:extLst>
            <a:ext uri="{FF2B5EF4-FFF2-40B4-BE49-F238E27FC236}">
              <a16:creationId xmlns:a16="http://schemas.microsoft.com/office/drawing/2014/main" id="{00000000-0008-0000-0500-00004F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0" name="Text Box 4">
          <a:extLst>
            <a:ext uri="{FF2B5EF4-FFF2-40B4-BE49-F238E27FC236}">
              <a16:creationId xmlns:a16="http://schemas.microsoft.com/office/drawing/2014/main" id="{00000000-0008-0000-0500-000050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1" name="Text Box 3">
          <a:extLst>
            <a:ext uri="{FF2B5EF4-FFF2-40B4-BE49-F238E27FC236}">
              <a16:creationId xmlns:a16="http://schemas.microsoft.com/office/drawing/2014/main" id="{00000000-0008-0000-0500-000051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2" name="Text Box 3">
          <a:extLst>
            <a:ext uri="{FF2B5EF4-FFF2-40B4-BE49-F238E27FC236}">
              <a16:creationId xmlns:a16="http://schemas.microsoft.com/office/drawing/2014/main" id="{00000000-0008-0000-0500-000052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3" name="Text Box 3">
          <a:extLst>
            <a:ext uri="{FF2B5EF4-FFF2-40B4-BE49-F238E27FC236}">
              <a16:creationId xmlns:a16="http://schemas.microsoft.com/office/drawing/2014/main" id="{00000000-0008-0000-0500-000053000000}"/>
            </a:ext>
          </a:extLst>
        </xdr:cNvPr>
        <xdr:cNvSpPr txBox="1">
          <a:spLocks noChangeArrowheads="1"/>
        </xdr:cNvSpPr>
      </xdr:nvSpPr>
      <xdr:spPr bwMode="auto">
        <a:xfrm>
          <a:off x="4257675" y="776287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4" name="Text Box 4">
          <a:extLst>
            <a:ext uri="{FF2B5EF4-FFF2-40B4-BE49-F238E27FC236}">
              <a16:creationId xmlns:a16="http://schemas.microsoft.com/office/drawing/2014/main" id="{00000000-0008-0000-0500-000054000000}"/>
            </a:ext>
          </a:extLst>
        </xdr:cNvPr>
        <xdr:cNvSpPr txBox="1">
          <a:spLocks noChangeArrowheads="1"/>
        </xdr:cNvSpPr>
      </xdr:nvSpPr>
      <xdr:spPr bwMode="auto">
        <a:xfrm>
          <a:off x="0" y="776287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85" name="Text Box 3">
          <a:extLst>
            <a:ext uri="{FF2B5EF4-FFF2-40B4-BE49-F238E27FC236}">
              <a16:creationId xmlns:a16="http://schemas.microsoft.com/office/drawing/2014/main" id="{00000000-0008-0000-0500-000055000000}"/>
            </a:ext>
          </a:extLst>
        </xdr:cNvPr>
        <xdr:cNvSpPr txBox="1">
          <a:spLocks noChangeArrowheads="1"/>
        </xdr:cNvSpPr>
      </xdr:nvSpPr>
      <xdr:spPr bwMode="auto">
        <a:xfrm>
          <a:off x="4257675" y="744855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6" name="Text Box 4">
          <a:extLst>
            <a:ext uri="{FF2B5EF4-FFF2-40B4-BE49-F238E27FC236}">
              <a16:creationId xmlns:a16="http://schemas.microsoft.com/office/drawing/2014/main" id="{00000000-0008-0000-0500-000056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7" name="Text Box 3">
          <a:extLst>
            <a:ext uri="{FF2B5EF4-FFF2-40B4-BE49-F238E27FC236}">
              <a16:creationId xmlns:a16="http://schemas.microsoft.com/office/drawing/2014/main" id="{00000000-0008-0000-0500-000057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8" name="Text Box 3">
          <a:extLst>
            <a:ext uri="{FF2B5EF4-FFF2-40B4-BE49-F238E27FC236}">
              <a16:creationId xmlns:a16="http://schemas.microsoft.com/office/drawing/2014/main" id="{00000000-0008-0000-0500-000058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9" name="Text Box 4">
          <a:extLst>
            <a:ext uri="{FF2B5EF4-FFF2-40B4-BE49-F238E27FC236}">
              <a16:creationId xmlns:a16="http://schemas.microsoft.com/office/drawing/2014/main" id="{00000000-0008-0000-0500-000059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0" name="Text Box 3">
          <a:extLst>
            <a:ext uri="{FF2B5EF4-FFF2-40B4-BE49-F238E27FC236}">
              <a16:creationId xmlns:a16="http://schemas.microsoft.com/office/drawing/2014/main" id="{00000000-0008-0000-0500-00005A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1" name="Text Box 3">
          <a:extLst>
            <a:ext uri="{FF2B5EF4-FFF2-40B4-BE49-F238E27FC236}">
              <a16:creationId xmlns:a16="http://schemas.microsoft.com/office/drawing/2014/main" id="{00000000-0008-0000-0500-00005B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2" name="Text Box 3">
          <a:extLst>
            <a:ext uri="{FF2B5EF4-FFF2-40B4-BE49-F238E27FC236}">
              <a16:creationId xmlns:a16="http://schemas.microsoft.com/office/drawing/2014/main" id="{00000000-0008-0000-0500-00005C000000}"/>
            </a:ext>
          </a:extLst>
        </xdr:cNvPr>
        <xdr:cNvSpPr txBox="1">
          <a:spLocks noChangeArrowheads="1"/>
        </xdr:cNvSpPr>
      </xdr:nvSpPr>
      <xdr:spPr bwMode="auto">
        <a:xfrm>
          <a:off x="4257675" y="870870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3" name="Text Box 4">
          <a:extLst>
            <a:ext uri="{FF2B5EF4-FFF2-40B4-BE49-F238E27FC236}">
              <a16:creationId xmlns:a16="http://schemas.microsoft.com/office/drawing/2014/main" id="{00000000-0008-0000-0500-00005D000000}"/>
            </a:ext>
          </a:extLst>
        </xdr:cNvPr>
        <xdr:cNvSpPr txBox="1">
          <a:spLocks noChangeArrowheads="1"/>
        </xdr:cNvSpPr>
      </xdr:nvSpPr>
      <xdr:spPr bwMode="auto">
        <a:xfrm>
          <a:off x="0" y="870870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94" name="Text Box 3">
          <a:extLst>
            <a:ext uri="{FF2B5EF4-FFF2-40B4-BE49-F238E27FC236}">
              <a16:creationId xmlns:a16="http://schemas.microsoft.com/office/drawing/2014/main" id="{00000000-0008-0000-0500-00005E000000}"/>
            </a:ext>
          </a:extLst>
        </xdr:cNvPr>
        <xdr:cNvSpPr txBox="1">
          <a:spLocks noChangeArrowheads="1"/>
        </xdr:cNvSpPr>
      </xdr:nvSpPr>
      <xdr:spPr bwMode="auto">
        <a:xfrm>
          <a:off x="4257675" y="839438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5" name="Text Box 4">
          <a:extLst>
            <a:ext uri="{FF2B5EF4-FFF2-40B4-BE49-F238E27FC236}">
              <a16:creationId xmlns:a16="http://schemas.microsoft.com/office/drawing/2014/main" id="{00000000-0008-0000-0500-00005F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6" name="Text Box 3">
          <a:extLst>
            <a:ext uri="{FF2B5EF4-FFF2-40B4-BE49-F238E27FC236}">
              <a16:creationId xmlns:a16="http://schemas.microsoft.com/office/drawing/2014/main" id="{00000000-0008-0000-0500-000060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7" name="Text Box 3">
          <a:extLst>
            <a:ext uri="{FF2B5EF4-FFF2-40B4-BE49-F238E27FC236}">
              <a16:creationId xmlns:a16="http://schemas.microsoft.com/office/drawing/2014/main" id="{00000000-0008-0000-0500-000061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8" name="Text Box 4">
          <a:extLst>
            <a:ext uri="{FF2B5EF4-FFF2-40B4-BE49-F238E27FC236}">
              <a16:creationId xmlns:a16="http://schemas.microsoft.com/office/drawing/2014/main" id="{00000000-0008-0000-0500-000062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9" name="Text Box 3">
          <a:extLst>
            <a:ext uri="{FF2B5EF4-FFF2-40B4-BE49-F238E27FC236}">
              <a16:creationId xmlns:a16="http://schemas.microsoft.com/office/drawing/2014/main" id="{00000000-0008-0000-0500-000063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0" name="Text Box 3">
          <a:extLst>
            <a:ext uri="{FF2B5EF4-FFF2-40B4-BE49-F238E27FC236}">
              <a16:creationId xmlns:a16="http://schemas.microsoft.com/office/drawing/2014/main" id="{00000000-0008-0000-0500-000064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1" name="Text Box 3">
          <a:extLst>
            <a:ext uri="{FF2B5EF4-FFF2-40B4-BE49-F238E27FC236}">
              <a16:creationId xmlns:a16="http://schemas.microsoft.com/office/drawing/2014/main" id="{00000000-0008-0000-0500-000065000000}"/>
            </a:ext>
          </a:extLst>
        </xdr:cNvPr>
        <xdr:cNvSpPr txBox="1">
          <a:spLocks noChangeArrowheads="1"/>
        </xdr:cNvSpPr>
      </xdr:nvSpPr>
      <xdr:spPr bwMode="auto">
        <a:xfrm>
          <a:off x="4257675" y="965454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2" name="Text Box 4">
          <a:extLst>
            <a:ext uri="{FF2B5EF4-FFF2-40B4-BE49-F238E27FC236}">
              <a16:creationId xmlns:a16="http://schemas.microsoft.com/office/drawing/2014/main" id="{00000000-0008-0000-0500-000066000000}"/>
            </a:ext>
          </a:extLst>
        </xdr:cNvPr>
        <xdr:cNvSpPr txBox="1">
          <a:spLocks noChangeArrowheads="1"/>
        </xdr:cNvSpPr>
      </xdr:nvSpPr>
      <xdr:spPr bwMode="auto">
        <a:xfrm>
          <a:off x="0" y="965454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103" name="Text Box 3">
          <a:extLst>
            <a:ext uri="{FF2B5EF4-FFF2-40B4-BE49-F238E27FC236}">
              <a16:creationId xmlns:a16="http://schemas.microsoft.com/office/drawing/2014/main" id="{00000000-0008-0000-0500-000067000000}"/>
            </a:ext>
          </a:extLst>
        </xdr:cNvPr>
        <xdr:cNvSpPr txBox="1">
          <a:spLocks noChangeArrowheads="1"/>
        </xdr:cNvSpPr>
      </xdr:nvSpPr>
      <xdr:spPr bwMode="auto">
        <a:xfrm>
          <a:off x="4257675" y="934021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4" name="Text Box 4">
          <a:extLst>
            <a:ext uri="{FF2B5EF4-FFF2-40B4-BE49-F238E27FC236}">
              <a16:creationId xmlns:a16="http://schemas.microsoft.com/office/drawing/2014/main" id="{00000000-0008-0000-0500-000068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5" name="Text Box 3">
          <a:extLst>
            <a:ext uri="{FF2B5EF4-FFF2-40B4-BE49-F238E27FC236}">
              <a16:creationId xmlns:a16="http://schemas.microsoft.com/office/drawing/2014/main" id="{00000000-0008-0000-0500-000069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74" name="Text Box 3">
          <a:extLst>
            <a:ext uri="{FF2B5EF4-FFF2-40B4-BE49-F238E27FC236}">
              <a16:creationId xmlns:a16="http://schemas.microsoft.com/office/drawing/2014/main" id="{00000000-0008-0000-0500-00004A000000}"/>
            </a:ext>
          </a:extLst>
        </xdr:cNvPr>
        <xdr:cNvSpPr txBox="1">
          <a:spLocks noChangeArrowheads="1"/>
        </xdr:cNvSpPr>
      </xdr:nvSpPr>
      <xdr:spPr bwMode="auto">
        <a:xfrm>
          <a:off x="4257675" y="27908250"/>
          <a:ext cx="76200" cy="200025"/>
        </a:xfrm>
        <a:prstGeom prst="rect">
          <a:avLst/>
        </a:prstGeom>
        <a:noFill/>
        <a:ln w="9525">
          <a:noFill/>
          <a:miter lim="800000"/>
          <a:headEnd/>
          <a:tailEnd/>
        </a:ln>
      </xdr:spPr>
    </xdr:sp>
    <xdr:clientData/>
  </xdr:oneCellAnchor>
  <xdr:oneCellAnchor>
    <xdr:from>
      <xdr:col>0</xdr:col>
      <xdr:colOff>0</xdr:colOff>
      <xdr:row>230</xdr:row>
      <xdr:rowOff>0</xdr:rowOff>
    </xdr:from>
    <xdr:ext cx="28575" cy="104775"/>
    <xdr:sp macro="" textlink="">
      <xdr:nvSpPr>
        <xdr:cNvPr id="75" name="Text Box 4">
          <a:extLst>
            <a:ext uri="{FF2B5EF4-FFF2-40B4-BE49-F238E27FC236}">
              <a16:creationId xmlns:a16="http://schemas.microsoft.com/office/drawing/2014/main" id="{00000000-0008-0000-0500-00004B000000}"/>
            </a:ext>
          </a:extLst>
        </xdr:cNvPr>
        <xdr:cNvSpPr txBox="1">
          <a:spLocks noChangeArrowheads="1"/>
        </xdr:cNvSpPr>
      </xdr:nvSpPr>
      <xdr:spPr bwMode="auto">
        <a:xfrm>
          <a:off x="0" y="279082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76" name="Text Box 3">
          <a:extLst>
            <a:ext uri="{FF2B5EF4-FFF2-40B4-BE49-F238E27FC236}">
              <a16:creationId xmlns:a16="http://schemas.microsoft.com/office/drawing/2014/main" id="{00000000-0008-0000-0500-00004C000000}"/>
            </a:ext>
          </a:extLst>
        </xdr:cNvPr>
        <xdr:cNvSpPr txBox="1">
          <a:spLocks noChangeArrowheads="1"/>
        </xdr:cNvSpPr>
      </xdr:nvSpPr>
      <xdr:spPr bwMode="auto">
        <a:xfrm>
          <a:off x="4257675" y="277082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77" name="Text Box 4">
          <a:extLst>
            <a:ext uri="{FF2B5EF4-FFF2-40B4-BE49-F238E27FC236}">
              <a16:creationId xmlns:a16="http://schemas.microsoft.com/office/drawing/2014/main" id="{00000000-0008-0000-0500-00004D000000}"/>
            </a:ext>
          </a:extLst>
        </xdr:cNvPr>
        <xdr:cNvSpPr txBox="1">
          <a:spLocks noChangeArrowheads="1"/>
        </xdr:cNvSpPr>
      </xdr:nvSpPr>
      <xdr:spPr bwMode="auto">
        <a:xfrm>
          <a:off x="0" y="27708225"/>
          <a:ext cx="28575" cy="10477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78" name="Text Box 3">
          <a:extLst>
            <a:ext uri="{FF2B5EF4-FFF2-40B4-BE49-F238E27FC236}">
              <a16:creationId xmlns:a16="http://schemas.microsoft.com/office/drawing/2014/main" id="{00000000-0008-0000-0500-00004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06" name="Text Box 3">
          <a:extLst>
            <a:ext uri="{FF2B5EF4-FFF2-40B4-BE49-F238E27FC236}">
              <a16:creationId xmlns:a16="http://schemas.microsoft.com/office/drawing/2014/main" id="{00000000-0008-0000-0500-00006A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7" name="Text Box 3">
          <a:extLst>
            <a:ext uri="{FF2B5EF4-FFF2-40B4-BE49-F238E27FC236}">
              <a16:creationId xmlns:a16="http://schemas.microsoft.com/office/drawing/2014/main" id="{00000000-0008-0000-0500-00006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8" name="Text Box 3">
          <a:extLst>
            <a:ext uri="{FF2B5EF4-FFF2-40B4-BE49-F238E27FC236}">
              <a16:creationId xmlns:a16="http://schemas.microsoft.com/office/drawing/2014/main" id="{00000000-0008-0000-0500-00006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9" name="Text Box 3">
          <a:extLst>
            <a:ext uri="{FF2B5EF4-FFF2-40B4-BE49-F238E27FC236}">
              <a16:creationId xmlns:a16="http://schemas.microsoft.com/office/drawing/2014/main" id="{00000000-0008-0000-0500-00006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0" name="Text Box 3">
          <a:extLst>
            <a:ext uri="{FF2B5EF4-FFF2-40B4-BE49-F238E27FC236}">
              <a16:creationId xmlns:a16="http://schemas.microsoft.com/office/drawing/2014/main" id="{00000000-0008-0000-0500-00006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1" name="Text Box 3">
          <a:extLst>
            <a:ext uri="{FF2B5EF4-FFF2-40B4-BE49-F238E27FC236}">
              <a16:creationId xmlns:a16="http://schemas.microsoft.com/office/drawing/2014/main" id="{00000000-0008-0000-0500-00006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2" name="Text Box 3">
          <a:extLst>
            <a:ext uri="{FF2B5EF4-FFF2-40B4-BE49-F238E27FC236}">
              <a16:creationId xmlns:a16="http://schemas.microsoft.com/office/drawing/2014/main" id="{00000000-0008-0000-0500-000070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3" name="Text Box 3">
          <a:extLst>
            <a:ext uri="{FF2B5EF4-FFF2-40B4-BE49-F238E27FC236}">
              <a16:creationId xmlns:a16="http://schemas.microsoft.com/office/drawing/2014/main" id="{00000000-0008-0000-0500-00007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4" name="Text Box 3">
          <a:extLst>
            <a:ext uri="{FF2B5EF4-FFF2-40B4-BE49-F238E27FC236}">
              <a16:creationId xmlns:a16="http://schemas.microsoft.com/office/drawing/2014/main" id="{00000000-0008-0000-0500-000072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5" name="Text Box 3">
          <a:extLst>
            <a:ext uri="{FF2B5EF4-FFF2-40B4-BE49-F238E27FC236}">
              <a16:creationId xmlns:a16="http://schemas.microsoft.com/office/drawing/2014/main" id="{00000000-0008-0000-0500-00007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6" name="Text Box 3">
          <a:extLst>
            <a:ext uri="{FF2B5EF4-FFF2-40B4-BE49-F238E27FC236}">
              <a16:creationId xmlns:a16="http://schemas.microsoft.com/office/drawing/2014/main" id="{00000000-0008-0000-0500-00007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7" name="Text Box 3">
          <a:extLst>
            <a:ext uri="{FF2B5EF4-FFF2-40B4-BE49-F238E27FC236}">
              <a16:creationId xmlns:a16="http://schemas.microsoft.com/office/drawing/2014/main" id="{00000000-0008-0000-0500-00007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8" name="Text Box 3">
          <a:extLst>
            <a:ext uri="{FF2B5EF4-FFF2-40B4-BE49-F238E27FC236}">
              <a16:creationId xmlns:a16="http://schemas.microsoft.com/office/drawing/2014/main" id="{00000000-0008-0000-0500-000076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9" name="Text Box 3">
          <a:extLst>
            <a:ext uri="{FF2B5EF4-FFF2-40B4-BE49-F238E27FC236}">
              <a16:creationId xmlns:a16="http://schemas.microsoft.com/office/drawing/2014/main" id="{00000000-0008-0000-0500-00007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0" name="Text Box 3">
          <a:extLst>
            <a:ext uri="{FF2B5EF4-FFF2-40B4-BE49-F238E27FC236}">
              <a16:creationId xmlns:a16="http://schemas.microsoft.com/office/drawing/2014/main" id="{00000000-0008-0000-0500-000078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1" name="Text Box 3">
          <a:extLst>
            <a:ext uri="{FF2B5EF4-FFF2-40B4-BE49-F238E27FC236}">
              <a16:creationId xmlns:a16="http://schemas.microsoft.com/office/drawing/2014/main" id="{00000000-0008-0000-0500-00007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2" name="Text Box 3">
          <a:extLst>
            <a:ext uri="{FF2B5EF4-FFF2-40B4-BE49-F238E27FC236}">
              <a16:creationId xmlns:a16="http://schemas.microsoft.com/office/drawing/2014/main" id="{00000000-0008-0000-0500-00007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3" name="Text Box 3">
          <a:extLst>
            <a:ext uri="{FF2B5EF4-FFF2-40B4-BE49-F238E27FC236}">
              <a16:creationId xmlns:a16="http://schemas.microsoft.com/office/drawing/2014/main" id="{00000000-0008-0000-0500-00007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24" name="Text Box 3">
          <a:extLst>
            <a:ext uri="{FF2B5EF4-FFF2-40B4-BE49-F238E27FC236}">
              <a16:creationId xmlns:a16="http://schemas.microsoft.com/office/drawing/2014/main" id="{00000000-0008-0000-0500-00007C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5" name="Text Box 3">
          <a:extLst>
            <a:ext uri="{FF2B5EF4-FFF2-40B4-BE49-F238E27FC236}">
              <a16:creationId xmlns:a16="http://schemas.microsoft.com/office/drawing/2014/main" id="{00000000-0008-0000-0500-00007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6" name="Text Box 3">
          <a:extLst>
            <a:ext uri="{FF2B5EF4-FFF2-40B4-BE49-F238E27FC236}">
              <a16:creationId xmlns:a16="http://schemas.microsoft.com/office/drawing/2014/main" id="{00000000-0008-0000-0500-00007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7" name="Text Box 3">
          <a:extLst>
            <a:ext uri="{FF2B5EF4-FFF2-40B4-BE49-F238E27FC236}">
              <a16:creationId xmlns:a16="http://schemas.microsoft.com/office/drawing/2014/main" id="{00000000-0008-0000-0500-00007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8" name="Text Box 3">
          <a:extLst>
            <a:ext uri="{FF2B5EF4-FFF2-40B4-BE49-F238E27FC236}">
              <a16:creationId xmlns:a16="http://schemas.microsoft.com/office/drawing/2014/main" id="{00000000-0008-0000-0500-000080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9" name="Text Box 3">
          <a:extLst>
            <a:ext uri="{FF2B5EF4-FFF2-40B4-BE49-F238E27FC236}">
              <a16:creationId xmlns:a16="http://schemas.microsoft.com/office/drawing/2014/main" id="{00000000-0008-0000-0500-00008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0" name="Text Box 3">
          <a:extLst>
            <a:ext uri="{FF2B5EF4-FFF2-40B4-BE49-F238E27FC236}">
              <a16:creationId xmlns:a16="http://schemas.microsoft.com/office/drawing/2014/main" id="{00000000-0008-0000-0500-000082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1" name="Text Box 3">
          <a:extLst>
            <a:ext uri="{FF2B5EF4-FFF2-40B4-BE49-F238E27FC236}">
              <a16:creationId xmlns:a16="http://schemas.microsoft.com/office/drawing/2014/main" id="{00000000-0008-0000-0500-00008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2" name="Text Box 3">
          <a:extLst>
            <a:ext uri="{FF2B5EF4-FFF2-40B4-BE49-F238E27FC236}">
              <a16:creationId xmlns:a16="http://schemas.microsoft.com/office/drawing/2014/main" id="{00000000-0008-0000-0500-00008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3" name="Text Box 3">
          <a:extLst>
            <a:ext uri="{FF2B5EF4-FFF2-40B4-BE49-F238E27FC236}">
              <a16:creationId xmlns:a16="http://schemas.microsoft.com/office/drawing/2014/main" id="{00000000-0008-0000-0500-00008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4" name="Text Box 3">
          <a:extLst>
            <a:ext uri="{FF2B5EF4-FFF2-40B4-BE49-F238E27FC236}">
              <a16:creationId xmlns:a16="http://schemas.microsoft.com/office/drawing/2014/main" id="{00000000-0008-0000-0500-000086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5" name="Text Box 3">
          <a:extLst>
            <a:ext uri="{FF2B5EF4-FFF2-40B4-BE49-F238E27FC236}">
              <a16:creationId xmlns:a16="http://schemas.microsoft.com/office/drawing/2014/main" id="{00000000-0008-0000-0500-00008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6" name="Text Box 3">
          <a:extLst>
            <a:ext uri="{FF2B5EF4-FFF2-40B4-BE49-F238E27FC236}">
              <a16:creationId xmlns:a16="http://schemas.microsoft.com/office/drawing/2014/main" id="{00000000-0008-0000-0500-000088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7" name="Text Box 3">
          <a:extLst>
            <a:ext uri="{FF2B5EF4-FFF2-40B4-BE49-F238E27FC236}">
              <a16:creationId xmlns:a16="http://schemas.microsoft.com/office/drawing/2014/main" id="{00000000-0008-0000-0500-00008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8" name="Text Box 3">
          <a:extLst>
            <a:ext uri="{FF2B5EF4-FFF2-40B4-BE49-F238E27FC236}">
              <a16:creationId xmlns:a16="http://schemas.microsoft.com/office/drawing/2014/main" id="{00000000-0008-0000-0500-00008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9" name="Text Box 3">
          <a:extLst>
            <a:ext uri="{FF2B5EF4-FFF2-40B4-BE49-F238E27FC236}">
              <a16:creationId xmlns:a16="http://schemas.microsoft.com/office/drawing/2014/main" id="{00000000-0008-0000-0500-00008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0" name="Text Box 3">
          <a:extLst>
            <a:ext uri="{FF2B5EF4-FFF2-40B4-BE49-F238E27FC236}">
              <a16:creationId xmlns:a16="http://schemas.microsoft.com/office/drawing/2014/main" id="{00000000-0008-0000-0500-00008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1" name="Text Box 3">
          <a:extLst>
            <a:ext uri="{FF2B5EF4-FFF2-40B4-BE49-F238E27FC236}">
              <a16:creationId xmlns:a16="http://schemas.microsoft.com/office/drawing/2014/main" id="{00000000-0008-0000-0500-00008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42" name="Text Box 3">
          <a:extLst>
            <a:ext uri="{FF2B5EF4-FFF2-40B4-BE49-F238E27FC236}">
              <a16:creationId xmlns:a16="http://schemas.microsoft.com/office/drawing/2014/main" id="{00000000-0008-0000-0500-00008E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3" name="Text Box 3">
          <a:extLst>
            <a:ext uri="{FF2B5EF4-FFF2-40B4-BE49-F238E27FC236}">
              <a16:creationId xmlns:a16="http://schemas.microsoft.com/office/drawing/2014/main" id="{00000000-0008-0000-0500-00008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288</xdr:row>
      <xdr:rowOff>0</xdr:rowOff>
    </xdr:from>
    <xdr:ext cx="76200" cy="200025"/>
    <xdr:sp macro="" textlink="">
      <xdr:nvSpPr>
        <xdr:cNvPr id="144" name="Text Box 3">
          <a:extLst>
            <a:ext uri="{FF2B5EF4-FFF2-40B4-BE49-F238E27FC236}">
              <a16:creationId xmlns:a16="http://schemas.microsoft.com/office/drawing/2014/main" id="{00000000-0008-0000-0500-000090000000}"/>
            </a:ext>
          </a:extLst>
        </xdr:cNvPr>
        <xdr:cNvSpPr txBox="1">
          <a:spLocks noChangeArrowheads="1"/>
        </xdr:cNvSpPr>
      </xdr:nvSpPr>
      <xdr:spPr bwMode="auto">
        <a:xfrm>
          <a:off x="4257675" y="37271325"/>
          <a:ext cx="76200" cy="200025"/>
        </a:xfrm>
        <a:prstGeom prst="rect">
          <a:avLst/>
        </a:prstGeom>
        <a:noFill/>
        <a:ln w="9525">
          <a:noFill/>
          <a:miter lim="800000"/>
          <a:headEnd/>
          <a:tailEnd/>
        </a:ln>
      </xdr:spPr>
    </xdr:sp>
    <xdr:clientData/>
  </xdr:oneCellAnchor>
  <xdr:oneCellAnchor>
    <xdr:from>
      <xdr:col>0</xdr:col>
      <xdr:colOff>0</xdr:colOff>
      <xdr:row>288</xdr:row>
      <xdr:rowOff>0</xdr:rowOff>
    </xdr:from>
    <xdr:ext cx="28575" cy="104775"/>
    <xdr:sp macro="" textlink="">
      <xdr:nvSpPr>
        <xdr:cNvPr id="145" name="Text Box 4">
          <a:extLst>
            <a:ext uri="{FF2B5EF4-FFF2-40B4-BE49-F238E27FC236}">
              <a16:creationId xmlns:a16="http://schemas.microsoft.com/office/drawing/2014/main" id="{00000000-0008-0000-0500-000091000000}"/>
            </a:ext>
          </a:extLst>
        </xdr:cNvPr>
        <xdr:cNvSpPr txBox="1">
          <a:spLocks noChangeArrowheads="1"/>
        </xdr:cNvSpPr>
      </xdr:nvSpPr>
      <xdr:spPr bwMode="auto">
        <a:xfrm>
          <a:off x="0" y="37271325"/>
          <a:ext cx="28575" cy="104775"/>
        </a:xfrm>
        <a:prstGeom prst="rect">
          <a:avLst/>
        </a:prstGeom>
        <a:noFill/>
        <a:ln w="9525">
          <a:noFill/>
          <a:miter lim="800000"/>
          <a:headEnd/>
          <a:tailEnd/>
        </a:ln>
      </xdr:spPr>
    </xdr:sp>
    <xdr:clientData/>
  </xdr:oneCellAnchor>
  <xdr:oneCellAnchor>
    <xdr:from>
      <xdr:col>6</xdr:col>
      <xdr:colOff>590550</xdr:colOff>
      <xdr:row>287</xdr:row>
      <xdr:rowOff>0</xdr:rowOff>
    </xdr:from>
    <xdr:ext cx="76200" cy="196850"/>
    <xdr:sp macro="" textlink="">
      <xdr:nvSpPr>
        <xdr:cNvPr id="146" name="Text Box 3">
          <a:extLst>
            <a:ext uri="{FF2B5EF4-FFF2-40B4-BE49-F238E27FC236}">
              <a16:creationId xmlns:a16="http://schemas.microsoft.com/office/drawing/2014/main" id="{00000000-0008-0000-0500-000092000000}"/>
            </a:ext>
          </a:extLst>
        </xdr:cNvPr>
        <xdr:cNvSpPr txBox="1">
          <a:spLocks noChangeArrowheads="1"/>
        </xdr:cNvSpPr>
      </xdr:nvSpPr>
      <xdr:spPr bwMode="auto">
        <a:xfrm>
          <a:off x="4257675" y="37071300"/>
          <a:ext cx="76200" cy="196850"/>
        </a:xfrm>
        <a:prstGeom prst="rect">
          <a:avLst/>
        </a:prstGeom>
        <a:noFill/>
        <a:ln w="9525">
          <a:noFill/>
          <a:miter lim="800000"/>
          <a:headEnd/>
          <a:tailEnd/>
        </a:ln>
      </xdr:spPr>
    </xdr:sp>
    <xdr:clientData/>
  </xdr:oneCellAnchor>
  <xdr:oneCellAnchor>
    <xdr:from>
      <xdr:col>0</xdr:col>
      <xdr:colOff>0</xdr:colOff>
      <xdr:row>287</xdr:row>
      <xdr:rowOff>0</xdr:rowOff>
    </xdr:from>
    <xdr:ext cx="28575" cy="104775"/>
    <xdr:sp macro="" textlink="">
      <xdr:nvSpPr>
        <xdr:cNvPr id="147" name="Text Box 4">
          <a:extLst>
            <a:ext uri="{FF2B5EF4-FFF2-40B4-BE49-F238E27FC236}">
              <a16:creationId xmlns:a16="http://schemas.microsoft.com/office/drawing/2014/main" id="{00000000-0008-0000-0500-000093000000}"/>
            </a:ext>
          </a:extLst>
        </xdr:cNvPr>
        <xdr:cNvSpPr txBox="1">
          <a:spLocks noChangeArrowheads="1"/>
        </xdr:cNvSpPr>
      </xdr:nvSpPr>
      <xdr:spPr bwMode="auto">
        <a:xfrm>
          <a:off x="0" y="37071300"/>
          <a:ext cx="28575" cy="10477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48" name="Text Box 3">
          <a:extLst>
            <a:ext uri="{FF2B5EF4-FFF2-40B4-BE49-F238E27FC236}">
              <a16:creationId xmlns:a16="http://schemas.microsoft.com/office/drawing/2014/main" id="{00000000-0008-0000-0500-00009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49" name="Text Box 3">
          <a:extLst>
            <a:ext uri="{FF2B5EF4-FFF2-40B4-BE49-F238E27FC236}">
              <a16:creationId xmlns:a16="http://schemas.microsoft.com/office/drawing/2014/main" id="{00000000-0008-0000-0500-000095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0" name="Text Box 3">
          <a:extLst>
            <a:ext uri="{FF2B5EF4-FFF2-40B4-BE49-F238E27FC236}">
              <a16:creationId xmlns:a16="http://schemas.microsoft.com/office/drawing/2014/main" id="{00000000-0008-0000-0500-00009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1" name="Text Box 3">
          <a:extLst>
            <a:ext uri="{FF2B5EF4-FFF2-40B4-BE49-F238E27FC236}">
              <a16:creationId xmlns:a16="http://schemas.microsoft.com/office/drawing/2014/main" id="{00000000-0008-0000-0500-00009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2" name="Text Box 3">
          <a:extLst>
            <a:ext uri="{FF2B5EF4-FFF2-40B4-BE49-F238E27FC236}">
              <a16:creationId xmlns:a16="http://schemas.microsoft.com/office/drawing/2014/main" id="{00000000-0008-0000-0500-00009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3" name="Text Box 3">
          <a:extLst>
            <a:ext uri="{FF2B5EF4-FFF2-40B4-BE49-F238E27FC236}">
              <a16:creationId xmlns:a16="http://schemas.microsoft.com/office/drawing/2014/main" id="{00000000-0008-0000-0500-00009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4" name="Text Box 3">
          <a:extLst>
            <a:ext uri="{FF2B5EF4-FFF2-40B4-BE49-F238E27FC236}">
              <a16:creationId xmlns:a16="http://schemas.microsoft.com/office/drawing/2014/main" id="{00000000-0008-0000-0500-00009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55" name="Text Box 3">
          <a:extLst>
            <a:ext uri="{FF2B5EF4-FFF2-40B4-BE49-F238E27FC236}">
              <a16:creationId xmlns:a16="http://schemas.microsoft.com/office/drawing/2014/main" id="{00000000-0008-0000-0500-00009B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6" name="Text Box 3">
          <a:extLst>
            <a:ext uri="{FF2B5EF4-FFF2-40B4-BE49-F238E27FC236}">
              <a16:creationId xmlns:a16="http://schemas.microsoft.com/office/drawing/2014/main" id="{00000000-0008-0000-0500-00009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7" name="Text Box 3">
          <a:extLst>
            <a:ext uri="{FF2B5EF4-FFF2-40B4-BE49-F238E27FC236}">
              <a16:creationId xmlns:a16="http://schemas.microsoft.com/office/drawing/2014/main" id="{00000000-0008-0000-0500-00009D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8" name="Text Box 3">
          <a:extLst>
            <a:ext uri="{FF2B5EF4-FFF2-40B4-BE49-F238E27FC236}">
              <a16:creationId xmlns:a16="http://schemas.microsoft.com/office/drawing/2014/main" id="{00000000-0008-0000-0500-00009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9" name="Text Box 3">
          <a:extLst>
            <a:ext uri="{FF2B5EF4-FFF2-40B4-BE49-F238E27FC236}">
              <a16:creationId xmlns:a16="http://schemas.microsoft.com/office/drawing/2014/main" id="{00000000-0008-0000-0500-00009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0" name="Text Box 3">
          <a:extLst>
            <a:ext uri="{FF2B5EF4-FFF2-40B4-BE49-F238E27FC236}">
              <a16:creationId xmlns:a16="http://schemas.microsoft.com/office/drawing/2014/main" id="{00000000-0008-0000-0500-0000A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1" name="Text Box 3">
          <a:extLst>
            <a:ext uri="{FF2B5EF4-FFF2-40B4-BE49-F238E27FC236}">
              <a16:creationId xmlns:a16="http://schemas.microsoft.com/office/drawing/2014/main" id="{00000000-0008-0000-0500-0000A1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2" name="Text Box 3">
          <a:extLst>
            <a:ext uri="{FF2B5EF4-FFF2-40B4-BE49-F238E27FC236}">
              <a16:creationId xmlns:a16="http://schemas.microsoft.com/office/drawing/2014/main" id="{00000000-0008-0000-0500-0000A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3" name="Text Box 3">
          <a:extLst>
            <a:ext uri="{FF2B5EF4-FFF2-40B4-BE49-F238E27FC236}">
              <a16:creationId xmlns:a16="http://schemas.microsoft.com/office/drawing/2014/main" id="{00000000-0008-0000-0500-0000A3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4" name="Text Box 3">
          <a:extLst>
            <a:ext uri="{FF2B5EF4-FFF2-40B4-BE49-F238E27FC236}">
              <a16:creationId xmlns:a16="http://schemas.microsoft.com/office/drawing/2014/main" id="{00000000-0008-0000-0500-0000A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5" name="Text Box 3">
          <a:extLst>
            <a:ext uri="{FF2B5EF4-FFF2-40B4-BE49-F238E27FC236}">
              <a16:creationId xmlns:a16="http://schemas.microsoft.com/office/drawing/2014/main" id="{00000000-0008-0000-0500-0000A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6" name="Text Box 3">
          <a:extLst>
            <a:ext uri="{FF2B5EF4-FFF2-40B4-BE49-F238E27FC236}">
              <a16:creationId xmlns:a16="http://schemas.microsoft.com/office/drawing/2014/main" id="{00000000-0008-0000-0500-0000A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7" name="Text Box 3">
          <a:extLst>
            <a:ext uri="{FF2B5EF4-FFF2-40B4-BE49-F238E27FC236}">
              <a16:creationId xmlns:a16="http://schemas.microsoft.com/office/drawing/2014/main" id="{00000000-0008-0000-0500-0000A7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8" name="Text Box 3">
          <a:extLst>
            <a:ext uri="{FF2B5EF4-FFF2-40B4-BE49-F238E27FC236}">
              <a16:creationId xmlns:a16="http://schemas.microsoft.com/office/drawing/2014/main" id="{00000000-0008-0000-0500-0000A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9" name="Text Box 3">
          <a:extLst>
            <a:ext uri="{FF2B5EF4-FFF2-40B4-BE49-F238E27FC236}">
              <a16:creationId xmlns:a16="http://schemas.microsoft.com/office/drawing/2014/main" id="{00000000-0008-0000-0500-0000A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0" name="Text Box 3">
          <a:extLst>
            <a:ext uri="{FF2B5EF4-FFF2-40B4-BE49-F238E27FC236}">
              <a16:creationId xmlns:a16="http://schemas.microsoft.com/office/drawing/2014/main" id="{00000000-0008-0000-0500-0000A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1" name="Text Box 3">
          <a:extLst>
            <a:ext uri="{FF2B5EF4-FFF2-40B4-BE49-F238E27FC236}">
              <a16:creationId xmlns:a16="http://schemas.microsoft.com/office/drawing/2014/main" id="{00000000-0008-0000-0500-0000AB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2" name="Text Box 3">
          <a:extLst>
            <a:ext uri="{FF2B5EF4-FFF2-40B4-BE49-F238E27FC236}">
              <a16:creationId xmlns:a16="http://schemas.microsoft.com/office/drawing/2014/main" id="{00000000-0008-0000-0500-0000A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3" name="Text Box 3">
          <a:extLst>
            <a:ext uri="{FF2B5EF4-FFF2-40B4-BE49-F238E27FC236}">
              <a16:creationId xmlns:a16="http://schemas.microsoft.com/office/drawing/2014/main" id="{00000000-0008-0000-0500-0000AD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4" name="Text Box 3">
          <a:extLst>
            <a:ext uri="{FF2B5EF4-FFF2-40B4-BE49-F238E27FC236}">
              <a16:creationId xmlns:a16="http://schemas.microsoft.com/office/drawing/2014/main" id="{00000000-0008-0000-0500-0000A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5" name="Text Box 3">
          <a:extLst>
            <a:ext uri="{FF2B5EF4-FFF2-40B4-BE49-F238E27FC236}">
              <a16:creationId xmlns:a16="http://schemas.microsoft.com/office/drawing/2014/main" id="{00000000-0008-0000-0500-0000A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6" name="Text Box 3">
          <a:extLst>
            <a:ext uri="{FF2B5EF4-FFF2-40B4-BE49-F238E27FC236}">
              <a16:creationId xmlns:a16="http://schemas.microsoft.com/office/drawing/2014/main" id="{00000000-0008-0000-0500-0000B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7" name="Text Box 3">
          <a:extLst>
            <a:ext uri="{FF2B5EF4-FFF2-40B4-BE49-F238E27FC236}">
              <a16:creationId xmlns:a16="http://schemas.microsoft.com/office/drawing/2014/main" id="{00000000-0008-0000-0500-0000B1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8" name="Text Box 3">
          <a:extLst>
            <a:ext uri="{FF2B5EF4-FFF2-40B4-BE49-F238E27FC236}">
              <a16:creationId xmlns:a16="http://schemas.microsoft.com/office/drawing/2014/main" id="{00000000-0008-0000-0500-0000B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9" name="Text Box 3">
          <a:extLst>
            <a:ext uri="{FF2B5EF4-FFF2-40B4-BE49-F238E27FC236}">
              <a16:creationId xmlns:a16="http://schemas.microsoft.com/office/drawing/2014/main" id="{00000000-0008-0000-0500-0000B3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0" name="Text Box 3">
          <a:extLst>
            <a:ext uri="{FF2B5EF4-FFF2-40B4-BE49-F238E27FC236}">
              <a16:creationId xmlns:a16="http://schemas.microsoft.com/office/drawing/2014/main" id="{00000000-0008-0000-0500-0000B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1" name="Text Box 3">
          <a:extLst>
            <a:ext uri="{FF2B5EF4-FFF2-40B4-BE49-F238E27FC236}">
              <a16:creationId xmlns:a16="http://schemas.microsoft.com/office/drawing/2014/main" id="{00000000-0008-0000-0500-0000B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2" name="Text Box 3">
          <a:extLst>
            <a:ext uri="{FF2B5EF4-FFF2-40B4-BE49-F238E27FC236}">
              <a16:creationId xmlns:a16="http://schemas.microsoft.com/office/drawing/2014/main" id="{00000000-0008-0000-0500-0000B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3" name="Text Box 3">
          <a:extLst>
            <a:ext uri="{FF2B5EF4-FFF2-40B4-BE49-F238E27FC236}">
              <a16:creationId xmlns:a16="http://schemas.microsoft.com/office/drawing/2014/main" id="{00000000-0008-0000-0500-0000B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4" name="Text Box 3">
          <a:extLst>
            <a:ext uri="{FF2B5EF4-FFF2-40B4-BE49-F238E27FC236}">
              <a16:creationId xmlns:a16="http://schemas.microsoft.com/office/drawing/2014/main" id="{00000000-0008-0000-0500-0000B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85" name="Text Box 3">
          <a:extLst>
            <a:ext uri="{FF2B5EF4-FFF2-40B4-BE49-F238E27FC236}">
              <a16:creationId xmlns:a16="http://schemas.microsoft.com/office/drawing/2014/main" id="{00000000-0008-0000-0500-0000B9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6" name="Text Box 3">
          <a:extLst>
            <a:ext uri="{FF2B5EF4-FFF2-40B4-BE49-F238E27FC236}">
              <a16:creationId xmlns:a16="http://schemas.microsoft.com/office/drawing/2014/main" id="{00000000-0008-0000-0500-0000B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346</xdr:row>
      <xdr:rowOff>0</xdr:rowOff>
    </xdr:from>
    <xdr:ext cx="76200" cy="200025"/>
    <xdr:sp macro="" textlink="">
      <xdr:nvSpPr>
        <xdr:cNvPr id="187" name="Text Box 3">
          <a:extLst>
            <a:ext uri="{FF2B5EF4-FFF2-40B4-BE49-F238E27FC236}">
              <a16:creationId xmlns:a16="http://schemas.microsoft.com/office/drawing/2014/main" id="{00000000-0008-0000-0500-0000BB000000}"/>
            </a:ext>
          </a:extLst>
        </xdr:cNvPr>
        <xdr:cNvSpPr txBox="1">
          <a:spLocks noChangeArrowheads="1"/>
        </xdr:cNvSpPr>
      </xdr:nvSpPr>
      <xdr:spPr bwMode="auto">
        <a:xfrm>
          <a:off x="4257675" y="46786800"/>
          <a:ext cx="76200" cy="200025"/>
        </a:xfrm>
        <a:prstGeom prst="rect">
          <a:avLst/>
        </a:prstGeom>
        <a:noFill/>
        <a:ln w="9525">
          <a:noFill/>
          <a:miter lim="800000"/>
          <a:headEnd/>
          <a:tailEnd/>
        </a:ln>
      </xdr:spPr>
    </xdr:sp>
    <xdr:clientData/>
  </xdr:oneCellAnchor>
  <xdr:oneCellAnchor>
    <xdr:from>
      <xdr:col>0</xdr:col>
      <xdr:colOff>0</xdr:colOff>
      <xdr:row>346</xdr:row>
      <xdr:rowOff>0</xdr:rowOff>
    </xdr:from>
    <xdr:ext cx="28575" cy="104775"/>
    <xdr:sp macro="" textlink="">
      <xdr:nvSpPr>
        <xdr:cNvPr id="188" name="Text Box 4">
          <a:extLst>
            <a:ext uri="{FF2B5EF4-FFF2-40B4-BE49-F238E27FC236}">
              <a16:creationId xmlns:a16="http://schemas.microsoft.com/office/drawing/2014/main" id="{00000000-0008-0000-0500-0000BC000000}"/>
            </a:ext>
          </a:extLst>
        </xdr:cNvPr>
        <xdr:cNvSpPr txBox="1">
          <a:spLocks noChangeArrowheads="1"/>
        </xdr:cNvSpPr>
      </xdr:nvSpPr>
      <xdr:spPr bwMode="auto">
        <a:xfrm>
          <a:off x="0" y="46786800"/>
          <a:ext cx="28575" cy="104775"/>
        </a:xfrm>
        <a:prstGeom prst="rect">
          <a:avLst/>
        </a:prstGeom>
        <a:noFill/>
        <a:ln w="9525">
          <a:noFill/>
          <a:miter lim="800000"/>
          <a:headEnd/>
          <a:tailEnd/>
        </a:ln>
      </xdr:spPr>
    </xdr:sp>
    <xdr:clientData/>
  </xdr:oneCellAnchor>
  <xdr:oneCellAnchor>
    <xdr:from>
      <xdr:col>6</xdr:col>
      <xdr:colOff>590550</xdr:colOff>
      <xdr:row>345</xdr:row>
      <xdr:rowOff>0</xdr:rowOff>
    </xdr:from>
    <xdr:ext cx="76200" cy="196850"/>
    <xdr:sp macro="" textlink="">
      <xdr:nvSpPr>
        <xdr:cNvPr id="189" name="Text Box 3">
          <a:extLst>
            <a:ext uri="{FF2B5EF4-FFF2-40B4-BE49-F238E27FC236}">
              <a16:creationId xmlns:a16="http://schemas.microsoft.com/office/drawing/2014/main" id="{00000000-0008-0000-0500-0000BD000000}"/>
            </a:ext>
          </a:extLst>
        </xdr:cNvPr>
        <xdr:cNvSpPr txBox="1">
          <a:spLocks noChangeArrowheads="1"/>
        </xdr:cNvSpPr>
      </xdr:nvSpPr>
      <xdr:spPr bwMode="auto">
        <a:xfrm>
          <a:off x="4257675" y="46586775"/>
          <a:ext cx="76200" cy="196850"/>
        </a:xfrm>
        <a:prstGeom prst="rect">
          <a:avLst/>
        </a:prstGeom>
        <a:noFill/>
        <a:ln w="9525">
          <a:noFill/>
          <a:miter lim="800000"/>
          <a:headEnd/>
          <a:tailEnd/>
        </a:ln>
      </xdr:spPr>
    </xdr:sp>
    <xdr:clientData/>
  </xdr:oneCellAnchor>
  <xdr:oneCellAnchor>
    <xdr:from>
      <xdr:col>0</xdr:col>
      <xdr:colOff>0</xdr:colOff>
      <xdr:row>345</xdr:row>
      <xdr:rowOff>0</xdr:rowOff>
    </xdr:from>
    <xdr:ext cx="28575" cy="104775"/>
    <xdr:sp macro="" textlink="">
      <xdr:nvSpPr>
        <xdr:cNvPr id="190" name="Text Box 4">
          <a:extLst>
            <a:ext uri="{FF2B5EF4-FFF2-40B4-BE49-F238E27FC236}">
              <a16:creationId xmlns:a16="http://schemas.microsoft.com/office/drawing/2014/main" id="{00000000-0008-0000-0500-0000BE000000}"/>
            </a:ext>
          </a:extLst>
        </xdr:cNvPr>
        <xdr:cNvSpPr txBox="1">
          <a:spLocks noChangeArrowheads="1"/>
        </xdr:cNvSpPr>
      </xdr:nvSpPr>
      <xdr:spPr bwMode="auto">
        <a:xfrm>
          <a:off x="0" y="46586775"/>
          <a:ext cx="28575" cy="10477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1" name="Text Box 3">
          <a:extLst>
            <a:ext uri="{FF2B5EF4-FFF2-40B4-BE49-F238E27FC236}">
              <a16:creationId xmlns:a16="http://schemas.microsoft.com/office/drawing/2014/main" id="{00000000-0008-0000-0500-0000B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2" name="Text Box 3">
          <a:extLst>
            <a:ext uri="{FF2B5EF4-FFF2-40B4-BE49-F238E27FC236}">
              <a16:creationId xmlns:a16="http://schemas.microsoft.com/office/drawing/2014/main" id="{00000000-0008-0000-0500-0000C0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3" name="Text Box 3">
          <a:extLst>
            <a:ext uri="{FF2B5EF4-FFF2-40B4-BE49-F238E27FC236}">
              <a16:creationId xmlns:a16="http://schemas.microsoft.com/office/drawing/2014/main" id="{00000000-0008-0000-0500-0000C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4" name="Text Box 3">
          <a:extLst>
            <a:ext uri="{FF2B5EF4-FFF2-40B4-BE49-F238E27FC236}">
              <a16:creationId xmlns:a16="http://schemas.microsoft.com/office/drawing/2014/main" id="{00000000-0008-0000-0500-0000C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5" name="Text Box 3">
          <a:extLst>
            <a:ext uri="{FF2B5EF4-FFF2-40B4-BE49-F238E27FC236}">
              <a16:creationId xmlns:a16="http://schemas.microsoft.com/office/drawing/2014/main" id="{00000000-0008-0000-0500-0000C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6" name="Text Box 3">
          <a:extLst>
            <a:ext uri="{FF2B5EF4-FFF2-40B4-BE49-F238E27FC236}">
              <a16:creationId xmlns:a16="http://schemas.microsoft.com/office/drawing/2014/main" id="{00000000-0008-0000-0500-0000C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7" name="Text Box 3">
          <a:extLst>
            <a:ext uri="{FF2B5EF4-FFF2-40B4-BE49-F238E27FC236}">
              <a16:creationId xmlns:a16="http://schemas.microsoft.com/office/drawing/2014/main" id="{00000000-0008-0000-0500-0000C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8" name="Text Box 3">
          <a:extLst>
            <a:ext uri="{FF2B5EF4-FFF2-40B4-BE49-F238E27FC236}">
              <a16:creationId xmlns:a16="http://schemas.microsoft.com/office/drawing/2014/main" id="{00000000-0008-0000-0500-0000C6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9" name="Text Box 3">
          <a:extLst>
            <a:ext uri="{FF2B5EF4-FFF2-40B4-BE49-F238E27FC236}">
              <a16:creationId xmlns:a16="http://schemas.microsoft.com/office/drawing/2014/main" id="{00000000-0008-0000-0500-0000C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0" name="Text Box 3">
          <a:extLst>
            <a:ext uri="{FF2B5EF4-FFF2-40B4-BE49-F238E27FC236}">
              <a16:creationId xmlns:a16="http://schemas.microsoft.com/office/drawing/2014/main" id="{00000000-0008-0000-0500-0000C8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1" name="Text Box 3">
          <a:extLst>
            <a:ext uri="{FF2B5EF4-FFF2-40B4-BE49-F238E27FC236}">
              <a16:creationId xmlns:a16="http://schemas.microsoft.com/office/drawing/2014/main" id="{00000000-0008-0000-0500-0000C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2" name="Text Box 3">
          <a:extLst>
            <a:ext uri="{FF2B5EF4-FFF2-40B4-BE49-F238E27FC236}">
              <a16:creationId xmlns:a16="http://schemas.microsoft.com/office/drawing/2014/main" id="{00000000-0008-0000-0500-0000C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3" name="Text Box 3">
          <a:extLst>
            <a:ext uri="{FF2B5EF4-FFF2-40B4-BE49-F238E27FC236}">
              <a16:creationId xmlns:a16="http://schemas.microsoft.com/office/drawing/2014/main" id="{00000000-0008-0000-0500-0000C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04" name="Text Box 3">
          <a:extLst>
            <a:ext uri="{FF2B5EF4-FFF2-40B4-BE49-F238E27FC236}">
              <a16:creationId xmlns:a16="http://schemas.microsoft.com/office/drawing/2014/main" id="{00000000-0008-0000-0500-0000CC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5" name="Text Box 3">
          <a:extLst>
            <a:ext uri="{FF2B5EF4-FFF2-40B4-BE49-F238E27FC236}">
              <a16:creationId xmlns:a16="http://schemas.microsoft.com/office/drawing/2014/main" id="{00000000-0008-0000-0500-0000C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6" name="Text Box 3">
          <a:extLst>
            <a:ext uri="{FF2B5EF4-FFF2-40B4-BE49-F238E27FC236}">
              <a16:creationId xmlns:a16="http://schemas.microsoft.com/office/drawing/2014/main" id="{00000000-0008-0000-0500-0000CE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7" name="Text Box 3">
          <a:extLst>
            <a:ext uri="{FF2B5EF4-FFF2-40B4-BE49-F238E27FC236}">
              <a16:creationId xmlns:a16="http://schemas.microsoft.com/office/drawing/2014/main" id="{00000000-0008-0000-0500-0000C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8" name="Text Box 3">
          <a:extLst>
            <a:ext uri="{FF2B5EF4-FFF2-40B4-BE49-F238E27FC236}">
              <a16:creationId xmlns:a16="http://schemas.microsoft.com/office/drawing/2014/main" id="{00000000-0008-0000-0500-0000D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9" name="Text Box 3">
          <a:extLst>
            <a:ext uri="{FF2B5EF4-FFF2-40B4-BE49-F238E27FC236}">
              <a16:creationId xmlns:a16="http://schemas.microsoft.com/office/drawing/2014/main" id="{00000000-0008-0000-0500-0000D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0" name="Text Box 3">
          <a:extLst>
            <a:ext uri="{FF2B5EF4-FFF2-40B4-BE49-F238E27FC236}">
              <a16:creationId xmlns:a16="http://schemas.microsoft.com/office/drawing/2014/main" id="{00000000-0008-0000-0500-0000D2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1" name="Text Box 3">
          <a:extLst>
            <a:ext uri="{FF2B5EF4-FFF2-40B4-BE49-F238E27FC236}">
              <a16:creationId xmlns:a16="http://schemas.microsoft.com/office/drawing/2014/main" id="{00000000-0008-0000-0500-0000D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2" name="Text Box 3">
          <a:extLst>
            <a:ext uri="{FF2B5EF4-FFF2-40B4-BE49-F238E27FC236}">
              <a16:creationId xmlns:a16="http://schemas.microsoft.com/office/drawing/2014/main" id="{00000000-0008-0000-0500-0000D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3" name="Text Box 3">
          <a:extLst>
            <a:ext uri="{FF2B5EF4-FFF2-40B4-BE49-F238E27FC236}">
              <a16:creationId xmlns:a16="http://schemas.microsoft.com/office/drawing/2014/main" id="{00000000-0008-0000-0500-0000D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4" name="Text Box 3">
          <a:extLst>
            <a:ext uri="{FF2B5EF4-FFF2-40B4-BE49-F238E27FC236}">
              <a16:creationId xmlns:a16="http://schemas.microsoft.com/office/drawing/2014/main" id="{00000000-0008-0000-0500-0000D6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5" name="Text Box 3">
          <a:extLst>
            <a:ext uri="{FF2B5EF4-FFF2-40B4-BE49-F238E27FC236}">
              <a16:creationId xmlns:a16="http://schemas.microsoft.com/office/drawing/2014/main" id="{00000000-0008-0000-0500-0000D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6" name="Text Box 3">
          <a:extLst>
            <a:ext uri="{FF2B5EF4-FFF2-40B4-BE49-F238E27FC236}">
              <a16:creationId xmlns:a16="http://schemas.microsoft.com/office/drawing/2014/main" id="{00000000-0008-0000-0500-0000D8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7" name="Text Box 3">
          <a:extLst>
            <a:ext uri="{FF2B5EF4-FFF2-40B4-BE49-F238E27FC236}">
              <a16:creationId xmlns:a16="http://schemas.microsoft.com/office/drawing/2014/main" id="{00000000-0008-0000-0500-0000D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8" name="Text Box 3">
          <a:extLst>
            <a:ext uri="{FF2B5EF4-FFF2-40B4-BE49-F238E27FC236}">
              <a16:creationId xmlns:a16="http://schemas.microsoft.com/office/drawing/2014/main" id="{00000000-0008-0000-0500-0000D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9" name="Text Box 3">
          <a:extLst>
            <a:ext uri="{FF2B5EF4-FFF2-40B4-BE49-F238E27FC236}">
              <a16:creationId xmlns:a16="http://schemas.microsoft.com/office/drawing/2014/main" id="{00000000-0008-0000-0500-0000D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0" name="Text Box 3">
          <a:extLst>
            <a:ext uri="{FF2B5EF4-FFF2-40B4-BE49-F238E27FC236}">
              <a16:creationId xmlns:a16="http://schemas.microsoft.com/office/drawing/2014/main" id="{00000000-0008-0000-0500-0000DC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1" name="Text Box 3">
          <a:extLst>
            <a:ext uri="{FF2B5EF4-FFF2-40B4-BE49-F238E27FC236}">
              <a16:creationId xmlns:a16="http://schemas.microsoft.com/office/drawing/2014/main" id="{00000000-0008-0000-0500-0000D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2" name="Text Box 3">
          <a:extLst>
            <a:ext uri="{FF2B5EF4-FFF2-40B4-BE49-F238E27FC236}">
              <a16:creationId xmlns:a16="http://schemas.microsoft.com/office/drawing/2014/main" id="{00000000-0008-0000-0500-0000DE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3" name="Text Box 3">
          <a:extLst>
            <a:ext uri="{FF2B5EF4-FFF2-40B4-BE49-F238E27FC236}">
              <a16:creationId xmlns:a16="http://schemas.microsoft.com/office/drawing/2014/main" id="{00000000-0008-0000-0500-0000D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4" name="Text Box 3">
          <a:extLst>
            <a:ext uri="{FF2B5EF4-FFF2-40B4-BE49-F238E27FC236}">
              <a16:creationId xmlns:a16="http://schemas.microsoft.com/office/drawing/2014/main" id="{00000000-0008-0000-0500-0000E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5" name="Text Box 3">
          <a:extLst>
            <a:ext uri="{FF2B5EF4-FFF2-40B4-BE49-F238E27FC236}">
              <a16:creationId xmlns:a16="http://schemas.microsoft.com/office/drawing/2014/main" id="{00000000-0008-0000-0500-0000E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6" name="Text Box 3">
          <a:extLst>
            <a:ext uri="{FF2B5EF4-FFF2-40B4-BE49-F238E27FC236}">
              <a16:creationId xmlns:a16="http://schemas.microsoft.com/office/drawing/2014/main" id="{00000000-0008-0000-0500-0000E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7" name="Text Box 3">
          <a:extLst>
            <a:ext uri="{FF2B5EF4-FFF2-40B4-BE49-F238E27FC236}">
              <a16:creationId xmlns:a16="http://schemas.microsoft.com/office/drawing/2014/main" id="{00000000-0008-0000-0500-0000E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8" name="Text Box 3">
          <a:extLst>
            <a:ext uri="{FF2B5EF4-FFF2-40B4-BE49-F238E27FC236}">
              <a16:creationId xmlns:a16="http://schemas.microsoft.com/office/drawing/2014/main" id="{00000000-0008-0000-0500-0000E4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9" name="Text Box 3">
          <a:extLst>
            <a:ext uri="{FF2B5EF4-FFF2-40B4-BE49-F238E27FC236}">
              <a16:creationId xmlns:a16="http://schemas.microsoft.com/office/drawing/2014/main" id="{00000000-0008-0000-0500-0000E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404</xdr:row>
      <xdr:rowOff>0</xdr:rowOff>
    </xdr:from>
    <xdr:ext cx="76200" cy="200025"/>
    <xdr:sp macro="" textlink="">
      <xdr:nvSpPr>
        <xdr:cNvPr id="230" name="Text Box 3">
          <a:extLst>
            <a:ext uri="{FF2B5EF4-FFF2-40B4-BE49-F238E27FC236}">
              <a16:creationId xmlns:a16="http://schemas.microsoft.com/office/drawing/2014/main" id="{00000000-0008-0000-0500-0000E6000000}"/>
            </a:ext>
          </a:extLst>
        </xdr:cNvPr>
        <xdr:cNvSpPr txBox="1">
          <a:spLocks noChangeArrowheads="1"/>
        </xdr:cNvSpPr>
      </xdr:nvSpPr>
      <xdr:spPr bwMode="auto">
        <a:xfrm>
          <a:off x="4257675" y="56245125"/>
          <a:ext cx="76200" cy="200025"/>
        </a:xfrm>
        <a:prstGeom prst="rect">
          <a:avLst/>
        </a:prstGeom>
        <a:noFill/>
        <a:ln w="9525">
          <a:noFill/>
          <a:miter lim="800000"/>
          <a:headEnd/>
          <a:tailEnd/>
        </a:ln>
      </xdr:spPr>
    </xdr:sp>
    <xdr:clientData/>
  </xdr:oneCellAnchor>
  <xdr:oneCellAnchor>
    <xdr:from>
      <xdr:col>0</xdr:col>
      <xdr:colOff>0</xdr:colOff>
      <xdr:row>404</xdr:row>
      <xdr:rowOff>0</xdr:rowOff>
    </xdr:from>
    <xdr:ext cx="28575" cy="104775"/>
    <xdr:sp macro="" textlink="">
      <xdr:nvSpPr>
        <xdr:cNvPr id="231" name="Text Box 4">
          <a:extLst>
            <a:ext uri="{FF2B5EF4-FFF2-40B4-BE49-F238E27FC236}">
              <a16:creationId xmlns:a16="http://schemas.microsoft.com/office/drawing/2014/main" id="{00000000-0008-0000-0500-0000E7000000}"/>
            </a:ext>
          </a:extLst>
        </xdr:cNvPr>
        <xdr:cNvSpPr txBox="1">
          <a:spLocks noChangeArrowheads="1"/>
        </xdr:cNvSpPr>
      </xdr:nvSpPr>
      <xdr:spPr bwMode="auto">
        <a:xfrm>
          <a:off x="0" y="56245125"/>
          <a:ext cx="28575" cy="104775"/>
        </a:xfrm>
        <a:prstGeom prst="rect">
          <a:avLst/>
        </a:prstGeom>
        <a:noFill/>
        <a:ln w="9525">
          <a:noFill/>
          <a:miter lim="800000"/>
          <a:headEnd/>
          <a:tailEnd/>
        </a:ln>
      </xdr:spPr>
    </xdr:sp>
    <xdr:clientData/>
  </xdr:oneCellAnchor>
  <xdr:oneCellAnchor>
    <xdr:from>
      <xdr:col>6</xdr:col>
      <xdr:colOff>590550</xdr:colOff>
      <xdr:row>403</xdr:row>
      <xdr:rowOff>0</xdr:rowOff>
    </xdr:from>
    <xdr:ext cx="76200" cy="196850"/>
    <xdr:sp macro="" textlink="">
      <xdr:nvSpPr>
        <xdr:cNvPr id="232" name="Text Box 3">
          <a:extLst>
            <a:ext uri="{FF2B5EF4-FFF2-40B4-BE49-F238E27FC236}">
              <a16:creationId xmlns:a16="http://schemas.microsoft.com/office/drawing/2014/main" id="{00000000-0008-0000-0500-0000E8000000}"/>
            </a:ext>
          </a:extLst>
        </xdr:cNvPr>
        <xdr:cNvSpPr txBox="1">
          <a:spLocks noChangeArrowheads="1"/>
        </xdr:cNvSpPr>
      </xdr:nvSpPr>
      <xdr:spPr bwMode="auto">
        <a:xfrm>
          <a:off x="4257675" y="56045100"/>
          <a:ext cx="76200" cy="196850"/>
        </a:xfrm>
        <a:prstGeom prst="rect">
          <a:avLst/>
        </a:prstGeom>
        <a:noFill/>
        <a:ln w="9525">
          <a:noFill/>
          <a:miter lim="800000"/>
          <a:headEnd/>
          <a:tailEnd/>
        </a:ln>
      </xdr:spPr>
    </xdr:sp>
    <xdr:clientData/>
  </xdr:oneCellAnchor>
  <xdr:oneCellAnchor>
    <xdr:from>
      <xdr:col>0</xdr:col>
      <xdr:colOff>0</xdr:colOff>
      <xdr:row>403</xdr:row>
      <xdr:rowOff>0</xdr:rowOff>
    </xdr:from>
    <xdr:ext cx="28575" cy="104775"/>
    <xdr:sp macro="" textlink="">
      <xdr:nvSpPr>
        <xdr:cNvPr id="233" name="Text Box 4">
          <a:extLst>
            <a:ext uri="{FF2B5EF4-FFF2-40B4-BE49-F238E27FC236}">
              <a16:creationId xmlns:a16="http://schemas.microsoft.com/office/drawing/2014/main" id="{00000000-0008-0000-0500-0000E9000000}"/>
            </a:ext>
          </a:extLst>
        </xdr:cNvPr>
        <xdr:cNvSpPr txBox="1">
          <a:spLocks noChangeArrowheads="1"/>
        </xdr:cNvSpPr>
      </xdr:nvSpPr>
      <xdr:spPr bwMode="auto">
        <a:xfrm>
          <a:off x="0" y="56045100"/>
          <a:ext cx="28575" cy="10477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4" name="Text Box 3">
          <a:extLst>
            <a:ext uri="{FF2B5EF4-FFF2-40B4-BE49-F238E27FC236}">
              <a16:creationId xmlns:a16="http://schemas.microsoft.com/office/drawing/2014/main" id="{00000000-0008-0000-0500-0000E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35" name="Text Box 3">
          <a:extLst>
            <a:ext uri="{FF2B5EF4-FFF2-40B4-BE49-F238E27FC236}">
              <a16:creationId xmlns:a16="http://schemas.microsoft.com/office/drawing/2014/main" id="{00000000-0008-0000-0500-0000EB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6" name="Text Box 3">
          <a:extLst>
            <a:ext uri="{FF2B5EF4-FFF2-40B4-BE49-F238E27FC236}">
              <a16:creationId xmlns:a16="http://schemas.microsoft.com/office/drawing/2014/main" id="{00000000-0008-0000-0500-0000E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7" name="Text Box 3">
          <a:extLst>
            <a:ext uri="{FF2B5EF4-FFF2-40B4-BE49-F238E27FC236}">
              <a16:creationId xmlns:a16="http://schemas.microsoft.com/office/drawing/2014/main" id="{00000000-0008-0000-0500-0000ED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8" name="Text Box 3">
          <a:extLst>
            <a:ext uri="{FF2B5EF4-FFF2-40B4-BE49-F238E27FC236}">
              <a16:creationId xmlns:a16="http://schemas.microsoft.com/office/drawing/2014/main" id="{00000000-0008-0000-0500-0000E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9" name="Text Box 3">
          <a:extLst>
            <a:ext uri="{FF2B5EF4-FFF2-40B4-BE49-F238E27FC236}">
              <a16:creationId xmlns:a16="http://schemas.microsoft.com/office/drawing/2014/main" id="{00000000-0008-0000-0500-0000E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0" name="Text Box 3">
          <a:extLst>
            <a:ext uri="{FF2B5EF4-FFF2-40B4-BE49-F238E27FC236}">
              <a16:creationId xmlns:a16="http://schemas.microsoft.com/office/drawing/2014/main" id="{00000000-0008-0000-0500-0000F0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1" name="Text Box 3">
          <a:extLst>
            <a:ext uri="{FF2B5EF4-FFF2-40B4-BE49-F238E27FC236}">
              <a16:creationId xmlns:a16="http://schemas.microsoft.com/office/drawing/2014/main" id="{00000000-0008-0000-0500-0000F1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2" name="Text Box 3">
          <a:extLst>
            <a:ext uri="{FF2B5EF4-FFF2-40B4-BE49-F238E27FC236}">
              <a16:creationId xmlns:a16="http://schemas.microsoft.com/office/drawing/2014/main" id="{00000000-0008-0000-0500-0000F2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3" name="Text Box 3">
          <a:extLst>
            <a:ext uri="{FF2B5EF4-FFF2-40B4-BE49-F238E27FC236}">
              <a16:creationId xmlns:a16="http://schemas.microsoft.com/office/drawing/2014/main" id="{00000000-0008-0000-0500-0000F3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4" name="Text Box 3">
          <a:extLst>
            <a:ext uri="{FF2B5EF4-FFF2-40B4-BE49-F238E27FC236}">
              <a16:creationId xmlns:a16="http://schemas.microsoft.com/office/drawing/2014/main" id="{00000000-0008-0000-0500-0000F4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5" name="Text Box 3">
          <a:extLst>
            <a:ext uri="{FF2B5EF4-FFF2-40B4-BE49-F238E27FC236}">
              <a16:creationId xmlns:a16="http://schemas.microsoft.com/office/drawing/2014/main" id="{00000000-0008-0000-0500-0000F5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6" name="Text Box 3">
          <a:extLst>
            <a:ext uri="{FF2B5EF4-FFF2-40B4-BE49-F238E27FC236}">
              <a16:creationId xmlns:a16="http://schemas.microsoft.com/office/drawing/2014/main" id="{00000000-0008-0000-0500-0000F6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7" name="Text Box 3">
          <a:extLst>
            <a:ext uri="{FF2B5EF4-FFF2-40B4-BE49-F238E27FC236}">
              <a16:creationId xmlns:a16="http://schemas.microsoft.com/office/drawing/2014/main" id="{00000000-0008-0000-0500-0000F7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8" name="Text Box 3">
          <a:extLst>
            <a:ext uri="{FF2B5EF4-FFF2-40B4-BE49-F238E27FC236}">
              <a16:creationId xmlns:a16="http://schemas.microsoft.com/office/drawing/2014/main" id="{00000000-0008-0000-0500-0000F8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9" name="Text Box 3">
          <a:extLst>
            <a:ext uri="{FF2B5EF4-FFF2-40B4-BE49-F238E27FC236}">
              <a16:creationId xmlns:a16="http://schemas.microsoft.com/office/drawing/2014/main" id="{00000000-0008-0000-0500-0000F9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0" name="Text Box 3">
          <a:extLst>
            <a:ext uri="{FF2B5EF4-FFF2-40B4-BE49-F238E27FC236}">
              <a16:creationId xmlns:a16="http://schemas.microsoft.com/office/drawing/2014/main" id="{00000000-0008-0000-0500-0000F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1" name="Text Box 3">
          <a:extLst>
            <a:ext uri="{FF2B5EF4-FFF2-40B4-BE49-F238E27FC236}">
              <a16:creationId xmlns:a16="http://schemas.microsoft.com/office/drawing/2014/main" id="{00000000-0008-0000-0500-0000FB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2" name="Text Box 3">
          <a:extLst>
            <a:ext uri="{FF2B5EF4-FFF2-40B4-BE49-F238E27FC236}">
              <a16:creationId xmlns:a16="http://schemas.microsoft.com/office/drawing/2014/main" id="{00000000-0008-0000-0500-0000F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3" name="Text Box 3">
          <a:extLst>
            <a:ext uri="{FF2B5EF4-FFF2-40B4-BE49-F238E27FC236}">
              <a16:creationId xmlns:a16="http://schemas.microsoft.com/office/drawing/2014/main" id="{00000000-0008-0000-0500-0000FD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4" name="Text Box 3">
          <a:extLst>
            <a:ext uri="{FF2B5EF4-FFF2-40B4-BE49-F238E27FC236}">
              <a16:creationId xmlns:a16="http://schemas.microsoft.com/office/drawing/2014/main" id="{00000000-0008-0000-0500-0000F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5" name="Text Box 3">
          <a:extLst>
            <a:ext uri="{FF2B5EF4-FFF2-40B4-BE49-F238E27FC236}">
              <a16:creationId xmlns:a16="http://schemas.microsoft.com/office/drawing/2014/main" id="{00000000-0008-0000-0500-0000F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6" name="Text Box 3">
          <a:extLst>
            <a:ext uri="{FF2B5EF4-FFF2-40B4-BE49-F238E27FC236}">
              <a16:creationId xmlns:a16="http://schemas.microsoft.com/office/drawing/2014/main" id="{00000000-0008-0000-0500-00000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7" name="Text Box 3">
          <a:extLst>
            <a:ext uri="{FF2B5EF4-FFF2-40B4-BE49-F238E27FC236}">
              <a16:creationId xmlns:a16="http://schemas.microsoft.com/office/drawing/2014/main" id="{00000000-0008-0000-0500-000001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8" name="Text Box 3">
          <a:extLst>
            <a:ext uri="{FF2B5EF4-FFF2-40B4-BE49-F238E27FC236}">
              <a16:creationId xmlns:a16="http://schemas.microsoft.com/office/drawing/2014/main" id="{00000000-0008-0000-0500-000002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9" name="Text Box 3">
          <a:extLst>
            <a:ext uri="{FF2B5EF4-FFF2-40B4-BE49-F238E27FC236}">
              <a16:creationId xmlns:a16="http://schemas.microsoft.com/office/drawing/2014/main" id="{00000000-0008-0000-0500-000003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0" name="Text Box 3">
          <a:extLst>
            <a:ext uri="{FF2B5EF4-FFF2-40B4-BE49-F238E27FC236}">
              <a16:creationId xmlns:a16="http://schemas.microsoft.com/office/drawing/2014/main" id="{00000000-0008-0000-0500-000004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1" name="Text Box 3">
          <a:extLst>
            <a:ext uri="{FF2B5EF4-FFF2-40B4-BE49-F238E27FC236}">
              <a16:creationId xmlns:a16="http://schemas.microsoft.com/office/drawing/2014/main" id="{00000000-0008-0000-0500-000005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2" name="Text Box 3">
          <a:extLst>
            <a:ext uri="{FF2B5EF4-FFF2-40B4-BE49-F238E27FC236}">
              <a16:creationId xmlns:a16="http://schemas.microsoft.com/office/drawing/2014/main" id="{00000000-0008-0000-0500-000006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3" name="Text Box 3">
          <a:extLst>
            <a:ext uri="{FF2B5EF4-FFF2-40B4-BE49-F238E27FC236}">
              <a16:creationId xmlns:a16="http://schemas.microsoft.com/office/drawing/2014/main" id="{00000000-0008-0000-0500-000007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4" name="Text Box 3">
          <a:extLst>
            <a:ext uri="{FF2B5EF4-FFF2-40B4-BE49-F238E27FC236}">
              <a16:creationId xmlns:a16="http://schemas.microsoft.com/office/drawing/2014/main" id="{00000000-0008-0000-0500-000008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65" name="Text Box 3">
          <a:extLst>
            <a:ext uri="{FF2B5EF4-FFF2-40B4-BE49-F238E27FC236}">
              <a16:creationId xmlns:a16="http://schemas.microsoft.com/office/drawing/2014/main" id="{00000000-0008-0000-0500-000009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6" name="Text Box 3">
          <a:extLst>
            <a:ext uri="{FF2B5EF4-FFF2-40B4-BE49-F238E27FC236}">
              <a16:creationId xmlns:a16="http://schemas.microsoft.com/office/drawing/2014/main" id="{00000000-0008-0000-0500-00000A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7" name="Text Box 3">
          <a:extLst>
            <a:ext uri="{FF2B5EF4-FFF2-40B4-BE49-F238E27FC236}">
              <a16:creationId xmlns:a16="http://schemas.microsoft.com/office/drawing/2014/main" id="{00000000-0008-0000-0500-00000B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8" name="Text Box 3">
          <a:extLst>
            <a:ext uri="{FF2B5EF4-FFF2-40B4-BE49-F238E27FC236}">
              <a16:creationId xmlns:a16="http://schemas.microsoft.com/office/drawing/2014/main" id="{00000000-0008-0000-0500-00000C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9" name="Text Box 3">
          <a:extLst>
            <a:ext uri="{FF2B5EF4-FFF2-40B4-BE49-F238E27FC236}">
              <a16:creationId xmlns:a16="http://schemas.microsoft.com/office/drawing/2014/main" id="{00000000-0008-0000-0500-00000D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0" name="Text Box 3">
          <a:extLst>
            <a:ext uri="{FF2B5EF4-FFF2-40B4-BE49-F238E27FC236}">
              <a16:creationId xmlns:a16="http://schemas.microsoft.com/office/drawing/2014/main" id="{00000000-0008-0000-0500-00000E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71" name="Text Box 3">
          <a:extLst>
            <a:ext uri="{FF2B5EF4-FFF2-40B4-BE49-F238E27FC236}">
              <a16:creationId xmlns:a16="http://schemas.microsoft.com/office/drawing/2014/main" id="{00000000-0008-0000-0500-00000F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2" name="Text Box 3">
          <a:extLst>
            <a:ext uri="{FF2B5EF4-FFF2-40B4-BE49-F238E27FC236}">
              <a16:creationId xmlns:a16="http://schemas.microsoft.com/office/drawing/2014/main" id="{00000000-0008-0000-0500-00001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462</xdr:row>
      <xdr:rowOff>0</xdr:rowOff>
    </xdr:from>
    <xdr:ext cx="76200" cy="200025"/>
    <xdr:sp macro="" textlink="">
      <xdr:nvSpPr>
        <xdr:cNvPr id="273" name="Text Box 3">
          <a:extLst>
            <a:ext uri="{FF2B5EF4-FFF2-40B4-BE49-F238E27FC236}">
              <a16:creationId xmlns:a16="http://schemas.microsoft.com/office/drawing/2014/main" id="{00000000-0008-0000-0500-000011010000}"/>
            </a:ext>
          </a:extLst>
        </xdr:cNvPr>
        <xdr:cNvSpPr txBox="1">
          <a:spLocks noChangeArrowheads="1"/>
        </xdr:cNvSpPr>
      </xdr:nvSpPr>
      <xdr:spPr bwMode="auto">
        <a:xfrm>
          <a:off x="4257675" y="65703450"/>
          <a:ext cx="76200" cy="200025"/>
        </a:xfrm>
        <a:prstGeom prst="rect">
          <a:avLst/>
        </a:prstGeom>
        <a:noFill/>
        <a:ln w="9525">
          <a:noFill/>
          <a:miter lim="800000"/>
          <a:headEnd/>
          <a:tailEnd/>
        </a:ln>
      </xdr:spPr>
    </xdr:sp>
    <xdr:clientData/>
  </xdr:oneCellAnchor>
  <xdr:oneCellAnchor>
    <xdr:from>
      <xdr:col>0</xdr:col>
      <xdr:colOff>0</xdr:colOff>
      <xdr:row>462</xdr:row>
      <xdr:rowOff>0</xdr:rowOff>
    </xdr:from>
    <xdr:ext cx="28575" cy="104775"/>
    <xdr:sp macro="" textlink="">
      <xdr:nvSpPr>
        <xdr:cNvPr id="274" name="Text Box 4">
          <a:extLst>
            <a:ext uri="{FF2B5EF4-FFF2-40B4-BE49-F238E27FC236}">
              <a16:creationId xmlns:a16="http://schemas.microsoft.com/office/drawing/2014/main" id="{00000000-0008-0000-0500-000012010000}"/>
            </a:ext>
          </a:extLst>
        </xdr:cNvPr>
        <xdr:cNvSpPr txBox="1">
          <a:spLocks noChangeArrowheads="1"/>
        </xdr:cNvSpPr>
      </xdr:nvSpPr>
      <xdr:spPr bwMode="auto">
        <a:xfrm>
          <a:off x="0" y="65703450"/>
          <a:ext cx="28575" cy="104775"/>
        </a:xfrm>
        <a:prstGeom prst="rect">
          <a:avLst/>
        </a:prstGeom>
        <a:noFill/>
        <a:ln w="9525">
          <a:noFill/>
          <a:miter lim="800000"/>
          <a:headEnd/>
          <a:tailEnd/>
        </a:ln>
      </xdr:spPr>
    </xdr:sp>
    <xdr:clientData/>
  </xdr:oneCellAnchor>
  <xdr:oneCellAnchor>
    <xdr:from>
      <xdr:col>6</xdr:col>
      <xdr:colOff>590550</xdr:colOff>
      <xdr:row>461</xdr:row>
      <xdr:rowOff>0</xdr:rowOff>
    </xdr:from>
    <xdr:ext cx="76200" cy="196850"/>
    <xdr:sp macro="" textlink="">
      <xdr:nvSpPr>
        <xdr:cNvPr id="275" name="Text Box 3">
          <a:extLst>
            <a:ext uri="{FF2B5EF4-FFF2-40B4-BE49-F238E27FC236}">
              <a16:creationId xmlns:a16="http://schemas.microsoft.com/office/drawing/2014/main" id="{00000000-0008-0000-0500-000013010000}"/>
            </a:ext>
          </a:extLst>
        </xdr:cNvPr>
        <xdr:cNvSpPr txBox="1">
          <a:spLocks noChangeArrowheads="1"/>
        </xdr:cNvSpPr>
      </xdr:nvSpPr>
      <xdr:spPr bwMode="auto">
        <a:xfrm>
          <a:off x="4257675" y="65503425"/>
          <a:ext cx="76200" cy="196850"/>
        </a:xfrm>
        <a:prstGeom prst="rect">
          <a:avLst/>
        </a:prstGeom>
        <a:noFill/>
        <a:ln w="9525">
          <a:noFill/>
          <a:miter lim="800000"/>
          <a:headEnd/>
          <a:tailEnd/>
        </a:ln>
      </xdr:spPr>
    </xdr:sp>
    <xdr:clientData/>
  </xdr:oneCellAnchor>
  <xdr:oneCellAnchor>
    <xdr:from>
      <xdr:col>0</xdr:col>
      <xdr:colOff>0</xdr:colOff>
      <xdr:row>461</xdr:row>
      <xdr:rowOff>0</xdr:rowOff>
    </xdr:from>
    <xdr:ext cx="28575" cy="104775"/>
    <xdr:sp macro="" textlink="">
      <xdr:nvSpPr>
        <xdr:cNvPr id="276" name="Text Box 4">
          <a:extLst>
            <a:ext uri="{FF2B5EF4-FFF2-40B4-BE49-F238E27FC236}">
              <a16:creationId xmlns:a16="http://schemas.microsoft.com/office/drawing/2014/main" id="{00000000-0008-0000-0500-000014010000}"/>
            </a:ext>
          </a:extLst>
        </xdr:cNvPr>
        <xdr:cNvSpPr txBox="1">
          <a:spLocks noChangeArrowheads="1"/>
        </xdr:cNvSpPr>
      </xdr:nvSpPr>
      <xdr:spPr bwMode="auto">
        <a:xfrm>
          <a:off x="0" y="65503425"/>
          <a:ext cx="28575" cy="10477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0" name="Text Box 3">
          <a:extLst>
            <a:ext uri="{FF2B5EF4-FFF2-40B4-BE49-F238E27FC236}">
              <a16:creationId xmlns:a16="http://schemas.microsoft.com/office/drawing/2014/main" id="{00000000-0008-0000-0500-00004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1" name="Text Box 3">
          <a:extLst>
            <a:ext uri="{FF2B5EF4-FFF2-40B4-BE49-F238E27FC236}">
              <a16:creationId xmlns:a16="http://schemas.microsoft.com/office/drawing/2014/main" id="{00000000-0008-0000-0500-000041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2" name="Text Box 3">
          <a:extLst>
            <a:ext uri="{FF2B5EF4-FFF2-40B4-BE49-F238E27FC236}">
              <a16:creationId xmlns:a16="http://schemas.microsoft.com/office/drawing/2014/main" id="{00000000-0008-0000-0500-00004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3" name="Text Box 3">
          <a:extLst>
            <a:ext uri="{FF2B5EF4-FFF2-40B4-BE49-F238E27FC236}">
              <a16:creationId xmlns:a16="http://schemas.microsoft.com/office/drawing/2014/main" id="{00000000-0008-0000-0500-00004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4" name="Text Box 3">
          <a:extLst>
            <a:ext uri="{FF2B5EF4-FFF2-40B4-BE49-F238E27FC236}">
              <a16:creationId xmlns:a16="http://schemas.microsoft.com/office/drawing/2014/main" id="{00000000-0008-0000-0500-00004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5" name="Text Box 3">
          <a:extLst>
            <a:ext uri="{FF2B5EF4-FFF2-40B4-BE49-F238E27FC236}">
              <a16:creationId xmlns:a16="http://schemas.microsoft.com/office/drawing/2014/main" id="{00000000-0008-0000-0500-00004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6" name="Text Box 3">
          <a:extLst>
            <a:ext uri="{FF2B5EF4-FFF2-40B4-BE49-F238E27FC236}">
              <a16:creationId xmlns:a16="http://schemas.microsoft.com/office/drawing/2014/main" id="{00000000-0008-0000-0500-00004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7" name="Text Box 3">
          <a:extLst>
            <a:ext uri="{FF2B5EF4-FFF2-40B4-BE49-F238E27FC236}">
              <a16:creationId xmlns:a16="http://schemas.microsoft.com/office/drawing/2014/main" id="{00000000-0008-0000-0500-000047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8" name="Text Box 3">
          <a:extLst>
            <a:ext uri="{FF2B5EF4-FFF2-40B4-BE49-F238E27FC236}">
              <a16:creationId xmlns:a16="http://schemas.microsoft.com/office/drawing/2014/main" id="{00000000-0008-0000-0500-00004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9" name="Text Box 3">
          <a:extLst>
            <a:ext uri="{FF2B5EF4-FFF2-40B4-BE49-F238E27FC236}">
              <a16:creationId xmlns:a16="http://schemas.microsoft.com/office/drawing/2014/main" id="{00000000-0008-0000-0500-000049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0" name="Text Box 3">
          <a:extLst>
            <a:ext uri="{FF2B5EF4-FFF2-40B4-BE49-F238E27FC236}">
              <a16:creationId xmlns:a16="http://schemas.microsoft.com/office/drawing/2014/main" id="{00000000-0008-0000-0500-00004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1" name="Text Box 3">
          <a:extLst>
            <a:ext uri="{FF2B5EF4-FFF2-40B4-BE49-F238E27FC236}">
              <a16:creationId xmlns:a16="http://schemas.microsoft.com/office/drawing/2014/main" id="{00000000-0008-0000-0500-00004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2" name="Text Box 3">
          <a:extLst>
            <a:ext uri="{FF2B5EF4-FFF2-40B4-BE49-F238E27FC236}">
              <a16:creationId xmlns:a16="http://schemas.microsoft.com/office/drawing/2014/main" id="{00000000-0008-0000-0500-00004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3" name="Text Box 3">
          <a:extLst>
            <a:ext uri="{FF2B5EF4-FFF2-40B4-BE49-F238E27FC236}">
              <a16:creationId xmlns:a16="http://schemas.microsoft.com/office/drawing/2014/main" id="{00000000-0008-0000-0500-00004D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4" name="Text Box 3">
          <a:extLst>
            <a:ext uri="{FF2B5EF4-FFF2-40B4-BE49-F238E27FC236}">
              <a16:creationId xmlns:a16="http://schemas.microsoft.com/office/drawing/2014/main" id="{00000000-0008-0000-0500-00004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5" name="Text Box 3">
          <a:extLst>
            <a:ext uri="{FF2B5EF4-FFF2-40B4-BE49-F238E27FC236}">
              <a16:creationId xmlns:a16="http://schemas.microsoft.com/office/drawing/2014/main" id="{00000000-0008-0000-0500-00004F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6" name="Text Box 3">
          <a:extLst>
            <a:ext uri="{FF2B5EF4-FFF2-40B4-BE49-F238E27FC236}">
              <a16:creationId xmlns:a16="http://schemas.microsoft.com/office/drawing/2014/main" id="{00000000-0008-0000-0500-00005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7" name="Text Box 3">
          <a:extLst>
            <a:ext uri="{FF2B5EF4-FFF2-40B4-BE49-F238E27FC236}">
              <a16:creationId xmlns:a16="http://schemas.microsoft.com/office/drawing/2014/main" id="{00000000-0008-0000-0500-00005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8" name="Text Box 3">
          <a:extLst>
            <a:ext uri="{FF2B5EF4-FFF2-40B4-BE49-F238E27FC236}">
              <a16:creationId xmlns:a16="http://schemas.microsoft.com/office/drawing/2014/main" id="{00000000-0008-0000-0500-00005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9" name="Text Box 3">
          <a:extLst>
            <a:ext uri="{FF2B5EF4-FFF2-40B4-BE49-F238E27FC236}">
              <a16:creationId xmlns:a16="http://schemas.microsoft.com/office/drawing/2014/main" id="{00000000-0008-0000-0500-000053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0" name="Text Box 3">
          <a:extLst>
            <a:ext uri="{FF2B5EF4-FFF2-40B4-BE49-F238E27FC236}">
              <a16:creationId xmlns:a16="http://schemas.microsoft.com/office/drawing/2014/main" id="{00000000-0008-0000-0500-00005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1" name="Text Box 3">
          <a:extLst>
            <a:ext uri="{FF2B5EF4-FFF2-40B4-BE49-F238E27FC236}">
              <a16:creationId xmlns:a16="http://schemas.microsoft.com/office/drawing/2014/main" id="{00000000-0008-0000-0500-00005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2" name="Text Box 3">
          <a:extLst>
            <a:ext uri="{FF2B5EF4-FFF2-40B4-BE49-F238E27FC236}">
              <a16:creationId xmlns:a16="http://schemas.microsoft.com/office/drawing/2014/main" id="{00000000-0008-0000-0500-00005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3" name="Text Box 3">
          <a:extLst>
            <a:ext uri="{FF2B5EF4-FFF2-40B4-BE49-F238E27FC236}">
              <a16:creationId xmlns:a16="http://schemas.microsoft.com/office/drawing/2014/main" id="{00000000-0008-0000-0500-000057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4" name="Text Box 3">
          <a:extLst>
            <a:ext uri="{FF2B5EF4-FFF2-40B4-BE49-F238E27FC236}">
              <a16:creationId xmlns:a16="http://schemas.microsoft.com/office/drawing/2014/main" id="{00000000-0008-0000-0500-00005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45" name="Text Box 3">
          <a:extLst>
            <a:ext uri="{FF2B5EF4-FFF2-40B4-BE49-F238E27FC236}">
              <a16:creationId xmlns:a16="http://schemas.microsoft.com/office/drawing/2014/main" id="{00000000-0008-0000-0500-000059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6" name="Text Box 3">
          <a:extLst>
            <a:ext uri="{FF2B5EF4-FFF2-40B4-BE49-F238E27FC236}">
              <a16:creationId xmlns:a16="http://schemas.microsoft.com/office/drawing/2014/main" id="{00000000-0008-0000-0500-00005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7" name="Text Box 3">
          <a:extLst>
            <a:ext uri="{FF2B5EF4-FFF2-40B4-BE49-F238E27FC236}">
              <a16:creationId xmlns:a16="http://schemas.microsoft.com/office/drawing/2014/main" id="{00000000-0008-0000-0500-00005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8" name="Text Box 3">
          <a:extLst>
            <a:ext uri="{FF2B5EF4-FFF2-40B4-BE49-F238E27FC236}">
              <a16:creationId xmlns:a16="http://schemas.microsoft.com/office/drawing/2014/main" id="{00000000-0008-0000-0500-00005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9" name="Text Box 3">
          <a:extLst>
            <a:ext uri="{FF2B5EF4-FFF2-40B4-BE49-F238E27FC236}">
              <a16:creationId xmlns:a16="http://schemas.microsoft.com/office/drawing/2014/main" id="{00000000-0008-0000-0500-00005D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0" name="Text Box 3">
          <a:extLst>
            <a:ext uri="{FF2B5EF4-FFF2-40B4-BE49-F238E27FC236}">
              <a16:creationId xmlns:a16="http://schemas.microsoft.com/office/drawing/2014/main" id="{00000000-0008-0000-0500-00005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1" name="Text Box 3">
          <a:extLst>
            <a:ext uri="{FF2B5EF4-FFF2-40B4-BE49-F238E27FC236}">
              <a16:creationId xmlns:a16="http://schemas.microsoft.com/office/drawing/2014/main" id="{00000000-0008-0000-0500-00005F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2" name="Text Box 3">
          <a:extLst>
            <a:ext uri="{FF2B5EF4-FFF2-40B4-BE49-F238E27FC236}">
              <a16:creationId xmlns:a16="http://schemas.microsoft.com/office/drawing/2014/main" id="{00000000-0008-0000-0500-00006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3" name="Text Box 3">
          <a:extLst>
            <a:ext uri="{FF2B5EF4-FFF2-40B4-BE49-F238E27FC236}">
              <a16:creationId xmlns:a16="http://schemas.microsoft.com/office/drawing/2014/main" id="{00000000-0008-0000-0500-00006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4" name="Text Box 3">
          <a:extLst>
            <a:ext uri="{FF2B5EF4-FFF2-40B4-BE49-F238E27FC236}">
              <a16:creationId xmlns:a16="http://schemas.microsoft.com/office/drawing/2014/main" id="{00000000-0008-0000-0500-00006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5" name="Text Box 3">
          <a:extLst>
            <a:ext uri="{FF2B5EF4-FFF2-40B4-BE49-F238E27FC236}">
              <a16:creationId xmlns:a16="http://schemas.microsoft.com/office/drawing/2014/main" id="{00000000-0008-0000-0500-00006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6" name="Text Box 3">
          <a:extLst>
            <a:ext uri="{FF2B5EF4-FFF2-40B4-BE49-F238E27FC236}">
              <a16:creationId xmlns:a16="http://schemas.microsoft.com/office/drawing/2014/main" id="{00000000-0008-0000-0500-00006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7" name="Text Box 3">
          <a:extLst>
            <a:ext uri="{FF2B5EF4-FFF2-40B4-BE49-F238E27FC236}">
              <a16:creationId xmlns:a16="http://schemas.microsoft.com/office/drawing/2014/main" id="{00000000-0008-0000-0500-000065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8" name="Text Box 3">
          <a:extLst>
            <a:ext uri="{FF2B5EF4-FFF2-40B4-BE49-F238E27FC236}">
              <a16:creationId xmlns:a16="http://schemas.microsoft.com/office/drawing/2014/main" id="{00000000-0008-0000-0500-00006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520</xdr:row>
      <xdr:rowOff>0</xdr:rowOff>
    </xdr:from>
    <xdr:ext cx="76200" cy="200025"/>
    <xdr:sp macro="" textlink="">
      <xdr:nvSpPr>
        <xdr:cNvPr id="359" name="Text Box 3">
          <a:extLst>
            <a:ext uri="{FF2B5EF4-FFF2-40B4-BE49-F238E27FC236}">
              <a16:creationId xmlns:a16="http://schemas.microsoft.com/office/drawing/2014/main" id="{00000000-0008-0000-0500-000067010000}"/>
            </a:ext>
          </a:extLst>
        </xdr:cNvPr>
        <xdr:cNvSpPr txBox="1">
          <a:spLocks noChangeArrowheads="1"/>
        </xdr:cNvSpPr>
      </xdr:nvSpPr>
      <xdr:spPr bwMode="auto">
        <a:xfrm>
          <a:off x="4257675" y="75161775"/>
          <a:ext cx="76200" cy="200025"/>
        </a:xfrm>
        <a:prstGeom prst="rect">
          <a:avLst/>
        </a:prstGeom>
        <a:noFill/>
        <a:ln w="9525">
          <a:noFill/>
          <a:miter lim="800000"/>
          <a:headEnd/>
          <a:tailEnd/>
        </a:ln>
      </xdr:spPr>
    </xdr:sp>
    <xdr:clientData/>
  </xdr:oneCellAnchor>
  <xdr:oneCellAnchor>
    <xdr:from>
      <xdr:col>0</xdr:col>
      <xdr:colOff>0</xdr:colOff>
      <xdr:row>520</xdr:row>
      <xdr:rowOff>0</xdr:rowOff>
    </xdr:from>
    <xdr:ext cx="28575" cy="104775"/>
    <xdr:sp macro="" textlink="">
      <xdr:nvSpPr>
        <xdr:cNvPr id="360" name="Text Box 4">
          <a:extLst>
            <a:ext uri="{FF2B5EF4-FFF2-40B4-BE49-F238E27FC236}">
              <a16:creationId xmlns:a16="http://schemas.microsoft.com/office/drawing/2014/main" id="{00000000-0008-0000-0500-000068010000}"/>
            </a:ext>
          </a:extLst>
        </xdr:cNvPr>
        <xdr:cNvSpPr txBox="1">
          <a:spLocks noChangeArrowheads="1"/>
        </xdr:cNvSpPr>
      </xdr:nvSpPr>
      <xdr:spPr bwMode="auto">
        <a:xfrm>
          <a:off x="0" y="75161775"/>
          <a:ext cx="28575" cy="104775"/>
        </a:xfrm>
        <a:prstGeom prst="rect">
          <a:avLst/>
        </a:prstGeom>
        <a:noFill/>
        <a:ln w="9525">
          <a:noFill/>
          <a:miter lim="800000"/>
          <a:headEnd/>
          <a:tailEnd/>
        </a:ln>
      </xdr:spPr>
    </xdr:sp>
    <xdr:clientData/>
  </xdr:oneCellAnchor>
  <xdr:oneCellAnchor>
    <xdr:from>
      <xdr:col>6</xdr:col>
      <xdr:colOff>590550</xdr:colOff>
      <xdr:row>519</xdr:row>
      <xdr:rowOff>0</xdr:rowOff>
    </xdr:from>
    <xdr:ext cx="76200" cy="196850"/>
    <xdr:sp macro="" textlink="">
      <xdr:nvSpPr>
        <xdr:cNvPr id="361" name="Text Box 3">
          <a:extLst>
            <a:ext uri="{FF2B5EF4-FFF2-40B4-BE49-F238E27FC236}">
              <a16:creationId xmlns:a16="http://schemas.microsoft.com/office/drawing/2014/main" id="{00000000-0008-0000-0500-000069010000}"/>
            </a:ext>
          </a:extLst>
        </xdr:cNvPr>
        <xdr:cNvSpPr txBox="1">
          <a:spLocks noChangeArrowheads="1"/>
        </xdr:cNvSpPr>
      </xdr:nvSpPr>
      <xdr:spPr bwMode="auto">
        <a:xfrm>
          <a:off x="4257675" y="74961750"/>
          <a:ext cx="76200" cy="196850"/>
        </a:xfrm>
        <a:prstGeom prst="rect">
          <a:avLst/>
        </a:prstGeom>
        <a:noFill/>
        <a:ln w="9525">
          <a:noFill/>
          <a:miter lim="800000"/>
          <a:headEnd/>
          <a:tailEnd/>
        </a:ln>
      </xdr:spPr>
    </xdr:sp>
    <xdr:clientData/>
  </xdr:oneCellAnchor>
  <xdr:oneCellAnchor>
    <xdr:from>
      <xdr:col>0</xdr:col>
      <xdr:colOff>0</xdr:colOff>
      <xdr:row>519</xdr:row>
      <xdr:rowOff>0</xdr:rowOff>
    </xdr:from>
    <xdr:ext cx="28575" cy="104775"/>
    <xdr:sp macro="" textlink="">
      <xdr:nvSpPr>
        <xdr:cNvPr id="362" name="Text Box 4">
          <a:extLst>
            <a:ext uri="{FF2B5EF4-FFF2-40B4-BE49-F238E27FC236}">
              <a16:creationId xmlns:a16="http://schemas.microsoft.com/office/drawing/2014/main" id="{00000000-0008-0000-0500-00006A010000}"/>
            </a:ext>
          </a:extLst>
        </xdr:cNvPr>
        <xdr:cNvSpPr txBox="1">
          <a:spLocks noChangeArrowheads="1"/>
        </xdr:cNvSpPr>
      </xdr:nvSpPr>
      <xdr:spPr bwMode="auto">
        <a:xfrm>
          <a:off x="0" y="74961750"/>
          <a:ext cx="28575" cy="10477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6" name="Text Box 3">
          <a:extLst>
            <a:ext uri="{FF2B5EF4-FFF2-40B4-BE49-F238E27FC236}">
              <a16:creationId xmlns:a16="http://schemas.microsoft.com/office/drawing/2014/main" id="{00000000-0008-0000-0500-00009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07" name="Text Box 3">
          <a:extLst>
            <a:ext uri="{FF2B5EF4-FFF2-40B4-BE49-F238E27FC236}">
              <a16:creationId xmlns:a16="http://schemas.microsoft.com/office/drawing/2014/main" id="{00000000-0008-0000-0500-000097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8" name="Text Box 3">
          <a:extLst>
            <a:ext uri="{FF2B5EF4-FFF2-40B4-BE49-F238E27FC236}">
              <a16:creationId xmlns:a16="http://schemas.microsoft.com/office/drawing/2014/main" id="{00000000-0008-0000-0500-00009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9" name="Text Box 3">
          <a:extLst>
            <a:ext uri="{FF2B5EF4-FFF2-40B4-BE49-F238E27FC236}">
              <a16:creationId xmlns:a16="http://schemas.microsoft.com/office/drawing/2014/main" id="{00000000-0008-0000-0500-00009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0" name="Text Box 3">
          <a:extLst>
            <a:ext uri="{FF2B5EF4-FFF2-40B4-BE49-F238E27FC236}">
              <a16:creationId xmlns:a16="http://schemas.microsoft.com/office/drawing/2014/main" id="{00000000-0008-0000-0500-00009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1" name="Text Box 3">
          <a:extLst>
            <a:ext uri="{FF2B5EF4-FFF2-40B4-BE49-F238E27FC236}">
              <a16:creationId xmlns:a16="http://schemas.microsoft.com/office/drawing/2014/main" id="{00000000-0008-0000-0500-00009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2" name="Text Box 3">
          <a:extLst>
            <a:ext uri="{FF2B5EF4-FFF2-40B4-BE49-F238E27FC236}">
              <a16:creationId xmlns:a16="http://schemas.microsoft.com/office/drawing/2014/main" id="{00000000-0008-0000-0500-00009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3" name="Text Box 3">
          <a:extLst>
            <a:ext uri="{FF2B5EF4-FFF2-40B4-BE49-F238E27FC236}">
              <a16:creationId xmlns:a16="http://schemas.microsoft.com/office/drawing/2014/main" id="{00000000-0008-0000-0500-00009D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4" name="Text Box 3">
          <a:extLst>
            <a:ext uri="{FF2B5EF4-FFF2-40B4-BE49-F238E27FC236}">
              <a16:creationId xmlns:a16="http://schemas.microsoft.com/office/drawing/2014/main" id="{00000000-0008-0000-0500-00009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5" name="Text Box 3">
          <a:extLst>
            <a:ext uri="{FF2B5EF4-FFF2-40B4-BE49-F238E27FC236}">
              <a16:creationId xmlns:a16="http://schemas.microsoft.com/office/drawing/2014/main" id="{00000000-0008-0000-0500-00009F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6" name="Text Box 3">
          <a:extLst>
            <a:ext uri="{FF2B5EF4-FFF2-40B4-BE49-F238E27FC236}">
              <a16:creationId xmlns:a16="http://schemas.microsoft.com/office/drawing/2014/main" id="{00000000-0008-0000-0500-0000A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7" name="Text Box 3">
          <a:extLst>
            <a:ext uri="{FF2B5EF4-FFF2-40B4-BE49-F238E27FC236}">
              <a16:creationId xmlns:a16="http://schemas.microsoft.com/office/drawing/2014/main" id="{00000000-0008-0000-0500-0000A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8" name="Text Box 3">
          <a:extLst>
            <a:ext uri="{FF2B5EF4-FFF2-40B4-BE49-F238E27FC236}">
              <a16:creationId xmlns:a16="http://schemas.microsoft.com/office/drawing/2014/main" id="{00000000-0008-0000-0500-0000A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9" name="Text Box 3">
          <a:extLst>
            <a:ext uri="{FF2B5EF4-FFF2-40B4-BE49-F238E27FC236}">
              <a16:creationId xmlns:a16="http://schemas.microsoft.com/office/drawing/2014/main" id="{00000000-0008-0000-0500-0000A3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0" name="Text Box 3">
          <a:extLst>
            <a:ext uri="{FF2B5EF4-FFF2-40B4-BE49-F238E27FC236}">
              <a16:creationId xmlns:a16="http://schemas.microsoft.com/office/drawing/2014/main" id="{00000000-0008-0000-0500-0000A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1" name="Text Box 3">
          <a:extLst>
            <a:ext uri="{FF2B5EF4-FFF2-40B4-BE49-F238E27FC236}">
              <a16:creationId xmlns:a16="http://schemas.microsoft.com/office/drawing/2014/main" id="{00000000-0008-0000-0500-0000A5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2" name="Text Box 3">
          <a:extLst>
            <a:ext uri="{FF2B5EF4-FFF2-40B4-BE49-F238E27FC236}">
              <a16:creationId xmlns:a16="http://schemas.microsoft.com/office/drawing/2014/main" id="{00000000-0008-0000-0500-0000A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3" name="Text Box 3">
          <a:extLst>
            <a:ext uri="{FF2B5EF4-FFF2-40B4-BE49-F238E27FC236}">
              <a16:creationId xmlns:a16="http://schemas.microsoft.com/office/drawing/2014/main" id="{00000000-0008-0000-0500-0000A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4" name="Text Box 3">
          <a:extLst>
            <a:ext uri="{FF2B5EF4-FFF2-40B4-BE49-F238E27FC236}">
              <a16:creationId xmlns:a16="http://schemas.microsoft.com/office/drawing/2014/main" id="{00000000-0008-0000-0500-0000A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25" name="Text Box 3">
          <a:extLst>
            <a:ext uri="{FF2B5EF4-FFF2-40B4-BE49-F238E27FC236}">
              <a16:creationId xmlns:a16="http://schemas.microsoft.com/office/drawing/2014/main" id="{00000000-0008-0000-0500-0000A9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6" name="Text Box 3">
          <a:extLst>
            <a:ext uri="{FF2B5EF4-FFF2-40B4-BE49-F238E27FC236}">
              <a16:creationId xmlns:a16="http://schemas.microsoft.com/office/drawing/2014/main" id="{00000000-0008-0000-0500-0000A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7" name="Text Box 3">
          <a:extLst>
            <a:ext uri="{FF2B5EF4-FFF2-40B4-BE49-F238E27FC236}">
              <a16:creationId xmlns:a16="http://schemas.microsoft.com/office/drawing/2014/main" id="{00000000-0008-0000-0500-0000A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8" name="Text Box 3">
          <a:extLst>
            <a:ext uri="{FF2B5EF4-FFF2-40B4-BE49-F238E27FC236}">
              <a16:creationId xmlns:a16="http://schemas.microsoft.com/office/drawing/2014/main" id="{00000000-0008-0000-0500-0000A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9" name="Text Box 3">
          <a:extLst>
            <a:ext uri="{FF2B5EF4-FFF2-40B4-BE49-F238E27FC236}">
              <a16:creationId xmlns:a16="http://schemas.microsoft.com/office/drawing/2014/main" id="{00000000-0008-0000-0500-0000AD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0" name="Text Box 3">
          <a:extLst>
            <a:ext uri="{FF2B5EF4-FFF2-40B4-BE49-F238E27FC236}">
              <a16:creationId xmlns:a16="http://schemas.microsoft.com/office/drawing/2014/main" id="{00000000-0008-0000-0500-0000A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1" name="Text Box 3">
          <a:extLst>
            <a:ext uri="{FF2B5EF4-FFF2-40B4-BE49-F238E27FC236}">
              <a16:creationId xmlns:a16="http://schemas.microsoft.com/office/drawing/2014/main" id="{00000000-0008-0000-0500-0000AF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2" name="Text Box 3">
          <a:extLst>
            <a:ext uri="{FF2B5EF4-FFF2-40B4-BE49-F238E27FC236}">
              <a16:creationId xmlns:a16="http://schemas.microsoft.com/office/drawing/2014/main" id="{00000000-0008-0000-0500-0000B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3" name="Text Box 3">
          <a:extLst>
            <a:ext uri="{FF2B5EF4-FFF2-40B4-BE49-F238E27FC236}">
              <a16:creationId xmlns:a16="http://schemas.microsoft.com/office/drawing/2014/main" id="{00000000-0008-0000-0500-0000B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4" name="Text Box 3">
          <a:extLst>
            <a:ext uri="{FF2B5EF4-FFF2-40B4-BE49-F238E27FC236}">
              <a16:creationId xmlns:a16="http://schemas.microsoft.com/office/drawing/2014/main" id="{00000000-0008-0000-0500-0000B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5" name="Text Box 3">
          <a:extLst>
            <a:ext uri="{FF2B5EF4-FFF2-40B4-BE49-F238E27FC236}">
              <a16:creationId xmlns:a16="http://schemas.microsoft.com/office/drawing/2014/main" id="{00000000-0008-0000-0500-0000B3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6" name="Text Box 3">
          <a:extLst>
            <a:ext uri="{FF2B5EF4-FFF2-40B4-BE49-F238E27FC236}">
              <a16:creationId xmlns:a16="http://schemas.microsoft.com/office/drawing/2014/main" id="{00000000-0008-0000-0500-0000B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7" name="Text Box 3">
          <a:extLst>
            <a:ext uri="{FF2B5EF4-FFF2-40B4-BE49-F238E27FC236}">
              <a16:creationId xmlns:a16="http://schemas.microsoft.com/office/drawing/2014/main" id="{00000000-0008-0000-0500-0000B5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8" name="Text Box 3">
          <a:extLst>
            <a:ext uri="{FF2B5EF4-FFF2-40B4-BE49-F238E27FC236}">
              <a16:creationId xmlns:a16="http://schemas.microsoft.com/office/drawing/2014/main" id="{00000000-0008-0000-0500-0000B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9" name="Text Box 3">
          <a:extLst>
            <a:ext uri="{FF2B5EF4-FFF2-40B4-BE49-F238E27FC236}">
              <a16:creationId xmlns:a16="http://schemas.microsoft.com/office/drawing/2014/main" id="{00000000-0008-0000-0500-0000B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0" name="Text Box 3">
          <a:extLst>
            <a:ext uri="{FF2B5EF4-FFF2-40B4-BE49-F238E27FC236}">
              <a16:creationId xmlns:a16="http://schemas.microsoft.com/office/drawing/2014/main" id="{00000000-0008-0000-0500-0000B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1" name="Text Box 3">
          <a:extLst>
            <a:ext uri="{FF2B5EF4-FFF2-40B4-BE49-F238E27FC236}">
              <a16:creationId xmlns:a16="http://schemas.microsoft.com/office/drawing/2014/main" id="{00000000-0008-0000-0500-0000B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2" name="Text Box 3">
          <a:extLst>
            <a:ext uri="{FF2B5EF4-FFF2-40B4-BE49-F238E27FC236}">
              <a16:creationId xmlns:a16="http://schemas.microsoft.com/office/drawing/2014/main" id="{00000000-0008-0000-0500-0000B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43" name="Text Box 3">
          <a:extLst>
            <a:ext uri="{FF2B5EF4-FFF2-40B4-BE49-F238E27FC236}">
              <a16:creationId xmlns:a16="http://schemas.microsoft.com/office/drawing/2014/main" id="{00000000-0008-0000-0500-0000BB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4" name="Text Box 3">
          <a:extLst>
            <a:ext uri="{FF2B5EF4-FFF2-40B4-BE49-F238E27FC236}">
              <a16:creationId xmlns:a16="http://schemas.microsoft.com/office/drawing/2014/main" id="{00000000-0008-0000-0500-0000B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578</xdr:row>
      <xdr:rowOff>0</xdr:rowOff>
    </xdr:from>
    <xdr:ext cx="76200" cy="200025"/>
    <xdr:sp macro="" textlink="">
      <xdr:nvSpPr>
        <xdr:cNvPr id="445" name="Text Box 3">
          <a:extLst>
            <a:ext uri="{FF2B5EF4-FFF2-40B4-BE49-F238E27FC236}">
              <a16:creationId xmlns:a16="http://schemas.microsoft.com/office/drawing/2014/main" id="{00000000-0008-0000-0500-0000BD010000}"/>
            </a:ext>
          </a:extLst>
        </xdr:cNvPr>
        <xdr:cNvSpPr txBox="1">
          <a:spLocks noChangeArrowheads="1"/>
        </xdr:cNvSpPr>
      </xdr:nvSpPr>
      <xdr:spPr bwMode="auto">
        <a:xfrm>
          <a:off x="4257675" y="84620100"/>
          <a:ext cx="76200" cy="200025"/>
        </a:xfrm>
        <a:prstGeom prst="rect">
          <a:avLst/>
        </a:prstGeom>
        <a:noFill/>
        <a:ln w="9525">
          <a:noFill/>
          <a:miter lim="800000"/>
          <a:headEnd/>
          <a:tailEnd/>
        </a:ln>
      </xdr:spPr>
    </xdr:sp>
    <xdr:clientData/>
  </xdr:oneCellAnchor>
  <xdr:oneCellAnchor>
    <xdr:from>
      <xdr:col>0</xdr:col>
      <xdr:colOff>0</xdr:colOff>
      <xdr:row>578</xdr:row>
      <xdr:rowOff>0</xdr:rowOff>
    </xdr:from>
    <xdr:ext cx="28575" cy="104775"/>
    <xdr:sp macro="" textlink="">
      <xdr:nvSpPr>
        <xdr:cNvPr id="446" name="Text Box 4">
          <a:extLst>
            <a:ext uri="{FF2B5EF4-FFF2-40B4-BE49-F238E27FC236}">
              <a16:creationId xmlns:a16="http://schemas.microsoft.com/office/drawing/2014/main" id="{00000000-0008-0000-0500-0000BE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577</xdr:row>
      <xdr:rowOff>0</xdr:rowOff>
    </xdr:from>
    <xdr:ext cx="76200" cy="196850"/>
    <xdr:sp macro="" textlink="">
      <xdr:nvSpPr>
        <xdr:cNvPr id="447" name="Text Box 3">
          <a:extLst>
            <a:ext uri="{FF2B5EF4-FFF2-40B4-BE49-F238E27FC236}">
              <a16:creationId xmlns:a16="http://schemas.microsoft.com/office/drawing/2014/main" id="{00000000-0008-0000-0500-0000BF010000}"/>
            </a:ext>
          </a:extLst>
        </xdr:cNvPr>
        <xdr:cNvSpPr txBox="1">
          <a:spLocks noChangeArrowheads="1"/>
        </xdr:cNvSpPr>
      </xdr:nvSpPr>
      <xdr:spPr bwMode="auto">
        <a:xfrm>
          <a:off x="4257675" y="84420075"/>
          <a:ext cx="76200" cy="196850"/>
        </a:xfrm>
        <a:prstGeom prst="rect">
          <a:avLst/>
        </a:prstGeom>
        <a:noFill/>
        <a:ln w="9525">
          <a:noFill/>
          <a:miter lim="800000"/>
          <a:headEnd/>
          <a:tailEnd/>
        </a:ln>
      </xdr:spPr>
    </xdr:sp>
    <xdr:clientData/>
  </xdr:oneCellAnchor>
  <xdr:oneCellAnchor>
    <xdr:from>
      <xdr:col>0</xdr:col>
      <xdr:colOff>0</xdr:colOff>
      <xdr:row>577</xdr:row>
      <xdr:rowOff>0</xdr:rowOff>
    </xdr:from>
    <xdr:ext cx="28575" cy="104775"/>
    <xdr:sp macro="" textlink="">
      <xdr:nvSpPr>
        <xdr:cNvPr id="448" name="Text Box 4">
          <a:extLst>
            <a:ext uri="{FF2B5EF4-FFF2-40B4-BE49-F238E27FC236}">
              <a16:creationId xmlns:a16="http://schemas.microsoft.com/office/drawing/2014/main" id="{00000000-0008-0000-0500-0000C0010000}"/>
            </a:ext>
          </a:extLst>
        </xdr:cNvPr>
        <xdr:cNvSpPr txBox="1">
          <a:spLocks noChangeArrowheads="1"/>
        </xdr:cNvSpPr>
      </xdr:nvSpPr>
      <xdr:spPr bwMode="auto">
        <a:xfrm>
          <a:off x="0" y="84420075"/>
          <a:ext cx="28575" cy="10477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49" name="Text Box 3">
          <a:extLst>
            <a:ext uri="{FF2B5EF4-FFF2-40B4-BE49-F238E27FC236}">
              <a16:creationId xmlns:a16="http://schemas.microsoft.com/office/drawing/2014/main" id="{00000000-0008-0000-0500-0000C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0" name="Text Box 3">
          <a:extLst>
            <a:ext uri="{FF2B5EF4-FFF2-40B4-BE49-F238E27FC236}">
              <a16:creationId xmlns:a16="http://schemas.microsoft.com/office/drawing/2014/main" id="{00000000-0008-0000-0500-0000C2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1" name="Text Box 3">
          <a:extLst>
            <a:ext uri="{FF2B5EF4-FFF2-40B4-BE49-F238E27FC236}">
              <a16:creationId xmlns:a16="http://schemas.microsoft.com/office/drawing/2014/main" id="{00000000-0008-0000-0500-0000C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2" name="Text Box 3">
          <a:extLst>
            <a:ext uri="{FF2B5EF4-FFF2-40B4-BE49-F238E27FC236}">
              <a16:creationId xmlns:a16="http://schemas.microsoft.com/office/drawing/2014/main" id="{00000000-0008-0000-0500-0000C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3" name="Text Box 3">
          <a:extLst>
            <a:ext uri="{FF2B5EF4-FFF2-40B4-BE49-F238E27FC236}">
              <a16:creationId xmlns:a16="http://schemas.microsoft.com/office/drawing/2014/main" id="{00000000-0008-0000-0500-0000C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4" name="Text Box 3">
          <a:extLst>
            <a:ext uri="{FF2B5EF4-FFF2-40B4-BE49-F238E27FC236}">
              <a16:creationId xmlns:a16="http://schemas.microsoft.com/office/drawing/2014/main" id="{00000000-0008-0000-0500-0000C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5" name="Text Box 3">
          <a:extLst>
            <a:ext uri="{FF2B5EF4-FFF2-40B4-BE49-F238E27FC236}">
              <a16:creationId xmlns:a16="http://schemas.microsoft.com/office/drawing/2014/main" id="{00000000-0008-0000-0500-0000C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6" name="Text Box 3">
          <a:extLst>
            <a:ext uri="{FF2B5EF4-FFF2-40B4-BE49-F238E27FC236}">
              <a16:creationId xmlns:a16="http://schemas.microsoft.com/office/drawing/2014/main" id="{00000000-0008-0000-0500-0000C8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7" name="Text Box 3">
          <a:extLst>
            <a:ext uri="{FF2B5EF4-FFF2-40B4-BE49-F238E27FC236}">
              <a16:creationId xmlns:a16="http://schemas.microsoft.com/office/drawing/2014/main" id="{00000000-0008-0000-0500-0000C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8" name="Text Box 3">
          <a:extLst>
            <a:ext uri="{FF2B5EF4-FFF2-40B4-BE49-F238E27FC236}">
              <a16:creationId xmlns:a16="http://schemas.microsoft.com/office/drawing/2014/main" id="{00000000-0008-0000-0500-0000CA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9" name="Text Box 3">
          <a:extLst>
            <a:ext uri="{FF2B5EF4-FFF2-40B4-BE49-F238E27FC236}">
              <a16:creationId xmlns:a16="http://schemas.microsoft.com/office/drawing/2014/main" id="{00000000-0008-0000-0500-0000C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0" name="Text Box 3">
          <a:extLst>
            <a:ext uri="{FF2B5EF4-FFF2-40B4-BE49-F238E27FC236}">
              <a16:creationId xmlns:a16="http://schemas.microsoft.com/office/drawing/2014/main" id="{00000000-0008-0000-0500-0000C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1" name="Text Box 3">
          <a:extLst>
            <a:ext uri="{FF2B5EF4-FFF2-40B4-BE49-F238E27FC236}">
              <a16:creationId xmlns:a16="http://schemas.microsoft.com/office/drawing/2014/main" id="{00000000-0008-0000-0500-0000C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2" name="Text Box 3">
          <a:extLst>
            <a:ext uri="{FF2B5EF4-FFF2-40B4-BE49-F238E27FC236}">
              <a16:creationId xmlns:a16="http://schemas.microsoft.com/office/drawing/2014/main" id="{00000000-0008-0000-0500-0000CE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3" name="Text Box 3">
          <a:extLst>
            <a:ext uri="{FF2B5EF4-FFF2-40B4-BE49-F238E27FC236}">
              <a16:creationId xmlns:a16="http://schemas.microsoft.com/office/drawing/2014/main" id="{00000000-0008-0000-0500-0000C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4" name="Text Box 3">
          <a:extLst>
            <a:ext uri="{FF2B5EF4-FFF2-40B4-BE49-F238E27FC236}">
              <a16:creationId xmlns:a16="http://schemas.microsoft.com/office/drawing/2014/main" id="{00000000-0008-0000-0500-0000D0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5" name="Text Box 3">
          <a:extLst>
            <a:ext uri="{FF2B5EF4-FFF2-40B4-BE49-F238E27FC236}">
              <a16:creationId xmlns:a16="http://schemas.microsoft.com/office/drawing/2014/main" id="{00000000-0008-0000-0500-0000D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6" name="Text Box 3">
          <a:extLst>
            <a:ext uri="{FF2B5EF4-FFF2-40B4-BE49-F238E27FC236}">
              <a16:creationId xmlns:a16="http://schemas.microsoft.com/office/drawing/2014/main" id="{00000000-0008-0000-0500-0000D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7" name="Text Box 3">
          <a:extLst>
            <a:ext uri="{FF2B5EF4-FFF2-40B4-BE49-F238E27FC236}">
              <a16:creationId xmlns:a16="http://schemas.microsoft.com/office/drawing/2014/main" id="{00000000-0008-0000-0500-0000D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8" name="Text Box 3">
          <a:extLst>
            <a:ext uri="{FF2B5EF4-FFF2-40B4-BE49-F238E27FC236}">
              <a16:creationId xmlns:a16="http://schemas.microsoft.com/office/drawing/2014/main" id="{00000000-0008-0000-0500-0000D4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9" name="Text Box 3">
          <a:extLst>
            <a:ext uri="{FF2B5EF4-FFF2-40B4-BE49-F238E27FC236}">
              <a16:creationId xmlns:a16="http://schemas.microsoft.com/office/drawing/2014/main" id="{00000000-0008-0000-0500-0000D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0" name="Text Box 3">
          <a:extLst>
            <a:ext uri="{FF2B5EF4-FFF2-40B4-BE49-F238E27FC236}">
              <a16:creationId xmlns:a16="http://schemas.microsoft.com/office/drawing/2014/main" id="{00000000-0008-0000-0500-0000D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1" name="Text Box 3">
          <a:extLst>
            <a:ext uri="{FF2B5EF4-FFF2-40B4-BE49-F238E27FC236}">
              <a16:creationId xmlns:a16="http://schemas.microsoft.com/office/drawing/2014/main" id="{00000000-0008-0000-0500-0000D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2" name="Text Box 3">
          <a:extLst>
            <a:ext uri="{FF2B5EF4-FFF2-40B4-BE49-F238E27FC236}">
              <a16:creationId xmlns:a16="http://schemas.microsoft.com/office/drawing/2014/main" id="{00000000-0008-0000-0500-0000D8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3" name="Text Box 3">
          <a:extLst>
            <a:ext uri="{FF2B5EF4-FFF2-40B4-BE49-F238E27FC236}">
              <a16:creationId xmlns:a16="http://schemas.microsoft.com/office/drawing/2014/main" id="{00000000-0008-0000-0500-0000D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74" name="Text Box 3">
          <a:extLst>
            <a:ext uri="{FF2B5EF4-FFF2-40B4-BE49-F238E27FC236}">
              <a16:creationId xmlns:a16="http://schemas.microsoft.com/office/drawing/2014/main" id="{00000000-0008-0000-0500-0000DA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5" name="Text Box 3">
          <a:extLst>
            <a:ext uri="{FF2B5EF4-FFF2-40B4-BE49-F238E27FC236}">
              <a16:creationId xmlns:a16="http://schemas.microsoft.com/office/drawing/2014/main" id="{00000000-0008-0000-0500-0000D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6" name="Text Box 3">
          <a:extLst>
            <a:ext uri="{FF2B5EF4-FFF2-40B4-BE49-F238E27FC236}">
              <a16:creationId xmlns:a16="http://schemas.microsoft.com/office/drawing/2014/main" id="{00000000-0008-0000-0500-0000D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7" name="Text Box 3">
          <a:extLst>
            <a:ext uri="{FF2B5EF4-FFF2-40B4-BE49-F238E27FC236}">
              <a16:creationId xmlns:a16="http://schemas.microsoft.com/office/drawing/2014/main" id="{00000000-0008-0000-0500-0000D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8" name="Text Box 3">
          <a:extLst>
            <a:ext uri="{FF2B5EF4-FFF2-40B4-BE49-F238E27FC236}">
              <a16:creationId xmlns:a16="http://schemas.microsoft.com/office/drawing/2014/main" id="{00000000-0008-0000-0500-0000DE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9" name="Text Box 3">
          <a:extLst>
            <a:ext uri="{FF2B5EF4-FFF2-40B4-BE49-F238E27FC236}">
              <a16:creationId xmlns:a16="http://schemas.microsoft.com/office/drawing/2014/main" id="{00000000-0008-0000-0500-0000D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0" name="Text Box 3">
          <a:extLst>
            <a:ext uri="{FF2B5EF4-FFF2-40B4-BE49-F238E27FC236}">
              <a16:creationId xmlns:a16="http://schemas.microsoft.com/office/drawing/2014/main" id="{00000000-0008-0000-0500-0000E0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1" name="Text Box 3">
          <a:extLst>
            <a:ext uri="{FF2B5EF4-FFF2-40B4-BE49-F238E27FC236}">
              <a16:creationId xmlns:a16="http://schemas.microsoft.com/office/drawing/2014/main" id="{00000000-0008-0000-0500-0000E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2" name="Text Box 3">
          <a:extLst>
            <a:ext uri="{FF2B5EF4-FFF2-40B4-BE49-F238E27FC236}">
              <a16:creationId xmlns:a16="http://schemas.microsoft.com/office/drawing/2014/main" id="{00000000-0008-0000-0500-0000E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3" name="Text Box 3">
          <a:extLst>
            <a:ext uri="{FF2B5EF4-FFF2-40B4-BE49-F238E27FC236}">
              <a16:creationId xmlns:a16="http://schemas.microsoft.com/office/drawing/2014/main" id="{00000000-0008-0000-0500-0000E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4" name="Text Box 3">
          <a:extLst>
            <a:ext uri="{FF2B5EF4-FFF2-40B4-BE49-F238E27FC236}">
              <a16:creationId xmlns:a16="http://schemas.microsoft.com/office/drawing/2014/main" id="{00000000-0008-0000-0500-0000E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5" name="Text Box 3">
          <a:extLst>
            <a:ext uri="{FF2B5EF4-FFF2-40B4-BE49-F238E27FC236}">
              <a16:creationId xmlns:a16="http://schemas.microsoft.com/office/drawing/2014/main" id="{00000000-0008-0000-0500-0000E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6" name="Text Box 3">
          <a:extLst>
            <a:ext uri="{FF2B5EF4-FFF2-40B4-BE49-F238E27FC236}">
              <a16:creationId xmlns:a16="http://schemas.microsoft.com/office/drawing/2014/main" id="{00000000-0008-0000-0500-0000E6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7" name="Text Box 3">
          <a:extLst>
            <a:ext uri="{FF2B5EF4-FFF2-40B4-BE49-F238E27FC236}">
              <a16:creationId xmlns:a16="http://schemas.microsoft.com/office/drawing/2014/main" id="{00000000-0008-0000-0500-0000E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636</xdr:row>
      <xdr:rowOff>0</xdr:rowOff>
    </xdr:from>
    <xdr:ext cx="76200" cy="200025"/>
    <xdr:sp macro="" textlink="">
      <xdr:nvSpPr>
        <xdr:cNvPr id="488" name="Text Box 3">
          <a:extLst>
            <a:ext uri="{FF2B5EF4-FFF2-40B4-BE49-F238E27FC236}">
              <a16:creationId xmlns:a16="http://schemas.microsoft.com/office/drawing/2014/main" id="{00000000-0008-0000-0500-0000E8010000}"/>
            </a:ext>
          </a:extLst>
        </xdr:cNvPr>
        <xdr:cNvSpPr txBox="1">
          <a:spLocks noChangeArrowheads="1"/>
        </xdr:cNvSpPr>
      </xdr:nvSpPr>
      <xdr:spPr bwMode="auto">
        <a:xfrm>
          <a:off x="4257675" y="94078425"/>
          <a:ext cx="76200" cy="200025"/>
        </a:xfrm>
        <a:prstGeom prst="rect">
          <a:avLst/>
        </a:prstGeom>
        <a:noFill/>
        <a:ln w="9525">
          <a:noFill/>
          <a:miter lim="800000"/>
          <a:headEnd/>
          <a:tailEnd/>
        </a:ln>
      </xdr:spPr>
    </xdr:sp>
    <xdr:clientData/>
  </xdr:oneCellAnchor>
  <xdr:oneCellAnchor>
    <xdr:from>
      <xdr:col>0</xdr:col>
      <xdr:colOff>0</xdr:colOff>
      <xdr:row>636</xdr:row>
      <xdr:rowOff>0</xdr:rowOff>
    </xdr:from>
    <xdr:ext cx="28575" cy="104775"/>
    <xdr:sp macro="" textlink="">
      <xdr:nvSpPr>
        <xdr:cNvPr id="489" name="Text Box 4">
          <a:extLst>
            <a:ext uri="{FF2B5EF4-FFF2-40B4-BE49-F238E27FC236}">
              <a16:creationId xmlns:a16="http://schemas.microsoft.com/office/drawing/2014/main" id="{00000000-0008-0000-0500-0000E9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635</xdr:row>
      <xdr:rowOff>0</xdr:rowOff>
    </xdr:from>
    <xdr:ext cx="76200" cy="196850"/>
    <xdr:sp macro="" textlink="">
      <xdr:nvSpPr>
        <xdr:cNvPr id="490" name="Text Box 3">
          <a:extLst>
            <a:ext uri="{FF2B5EF4-FFF2-40B4-BE49-F238E27FC236}">
              <a16:creationId xmlns:a16="http://schemas.microsoft.com/office/drawing/2014/main" id="{00000000-0008-0000-0500-0000EA010000}"/>
            </a:ext>
          </a:extLst>
        </xdr:cNvPr>
        <xdr:cNvSpPr txBox="1">
          <a:spLocks noChangeArrowheads="1"/>
        </xdr:cNvSpPr>
      </xdr:nvSpPr>
      <xdr:spPr bwMode="auto">
        <a:xfrm>
          <a:off x="4257675" y="93878400"/>
          <a:ext cx="76200" cy="196850"/>
        </a:xfrm>
        <a:prstGeom prst="rect">
          <a:avLst/>
        </a:prstGeom>
        <a:noFill/>
        <a:ln w="9525">
          <a:noFill/>
          <a:miter lim="800000"/>
          <a:headEnd/>
          <a:tailEnd/>
        </a:ln>
      </xdr:spPr>
    </xdr:sp>
    <xdr:clientData/>
  </xdr:oneCellAnchor>
  <xdr:oneCellAnchor>
    <xdr:from>
      <xdr:col>0</xdr:col>
      <xdr:colOff>0</xdr:colOff>
      <xdr:row>635</xdr:row>
      <xdr:rowOff>0</xdr:rowOff>
    </xdr:from>
    <xdr:ext cx="28575" cy="104775"/>
    <xdr:sp macro="" textlink="">
      <xdr:nvSpPr>
        <xdr:cNvPr id="491" name="Text Box 4">
          <a:extLst>
            <a:ext uri="{FF2B5EF4-FFF2-40B4-BE49-F238E27FC236}">
              <a16:creationId xmlns:a16="http://schemas.microsoft.com/office/drawing/2014/main" id="{00000000-0008-0000-0500-0000EB010000}"/>
            </a:ext>
          </a:extLst>
        </xdr:cNvPr>
        <xdr:cNvSpPr txBox="1">
          <a:spLocks noChangeArrowheads="1"/>
        </xdr:cNvSpPr>
      </xdr:nvSpPr>
      <xdr:spPr bwMode="auto">
        <a:xfrm>
          <a:off x="0" y="93878400"/>
          <a:ext cx="28575" cy="10477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2" name="Text Box 3">
          <a:extLst>
            <a:ext uri="{FF2B5EF4-FFF2-40B4-BE49-F238E27FC236}">
              <a16:creationId xmlns:a16="http://schemas.microsoft.com/office/drawing/2014/main" id="{00000000-0008-0000-0500-0000E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3" name="Text Box 3">
          <a:extLst>
            <a:ext uri="{FF2B5EF4-FFF2-40B4-BE49-F238E27FC236}">
              <a16:creationId xmlns:a16="http://schemas.microsoft.com/office/drawing/2014/main" id="{00000000-0008-0000-0500-0000ED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4" name="Text Box 3">
          <a:extLst>
            <a:ext uri="{FF2B5EF4-FFF2-40B4-BE49-F238E27FC236}">
              <a16:creationId xmlns:a16="http://schemas.microsoft.com/office/drawing/2014/main" id="{00000000-0008-0000-0500-0000E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5" name="Text Box 3">
          <a:extLst>
            <a:ext uri="{FF2B5EF4-FFF2-40B4-BE49-F238E27FC236}">
              <a16:creationId xmlns:a16="http://schemas.microsoft.com/office/drawing/2014/main" id="{00000000-0008-0000-0500-0000EF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6" name="Text Box 3">
          <a:extLst>
            <a:ext uri="{FF2B5EF4-FFF2-40B4-BE49-F238E27FC236}">
              <a16:creationId xmlns:a16="http://schemas.microsoft.com/office/drawing/2014/main" id="{00000000-0008-0000-0500-0000F0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7" name="Text Box 3">
          <a:extLst>
            <a:ext uri="{FF2B5EF4-FFF2-40B4-BE49-F238E27FC236}">
              <a16:creationId xmlns:a16="http://schemas.microsoft.com/office/drawing/2014/main" id="{00000000-0008-0000-0500-0000F1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8" name="Text Box 3">
          <a:extLst>
            <a:ext uri="{FF2B5EF4-FFF2-40B4-BE49-F238E27FC236}">
              <a16:creationId xmlns:a16="http://schemas.microsoft.com/office/drawing/2014/main" id="{00000000-0008-0000-0500-0000F2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9" name="Text Box 3">
          <a:extLst>
            <a:ext uri="{FF2B5EF4-FFF2-40B4-BE49-F238E27FC236}">
              <a16:creationId xmlns:a16="http://schemas.microsoft.com/office/drawing/2014/main" id="{00000000-0008-0000-0500-0000F3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0" name="Text Box 3">
          <a:extLst>
            <a:ext uri="{FF2B5EF4-FFF2-40B4-BE49-F238E27FC236}">
              <a16:creationId xmlns:a16="http://schemas.microsoft.com/office/drawing/2014/main" id="{00000000-0008-0000-0500-0000F4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1" name="Text Box 3">
          <a:extLst>
            <a:ext uri="{FF2B5EF4-FFF2-40B4-BE49-F238E27FC236}">
              <a16:creationId xmlns:a16="http://schemas.microsoft.com/office/drawing/2014/main" id="{00000000-0008-0000-0500-0000F5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2" name="Text Box 3">
          <a:extLst>
            <a:ext uri="{FF2B5EF4-FFF2-40B4-BE49-F238E27FC236}">
              <a16:creationId xmlns:a16="http://schemas.microsoft.com/office/drawing/2014/main" id="{00000000-0008-0000-0500-0000F6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3" name="Text Box 3">
          <a:extLst>
            <a:ext uri="{FF2B5EF4-FFF2-40B4-BE49-F238E27FC236}">
              <a16:creationId xmlns:a16="http://schemas.microsoft.com/office/drawing/2014/main" id="{00000000-0008-0000-0500-0000F7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4" name="Text Box 3">
          <a:extLst>
            <a:ext uri="{FF2B5EF4-FFF2-40B4-BE49-F238E27FC236}">
              <a16:creationId xmlns:a16="http://schemas.microsoft.com/office/drawing/2014/main" id="{00000000-0008-0000-0500-0000F8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05" name="Text Box 3">
          <a:extLst>
            <a:ext uri="{FF2B5EF4-FFF2-40B4-BE49-F238E27FC236}">
              <a16:creationId xmlns:a16="http://schemas.microsoft.com/office/drawing/2014/main" id="{00000000-0008-0000-0500-0000F9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6" name="Text Box 3">
          <a:extLst>
            <a:ext uri="{FF2B5EF4-FFF2-40B4-BE49-F238E27FC236}">
              <a16:creationId xmlns:a16="http://schemas.microsoft.com/office/drawing/2014/main" id="{00000000-0008-0000-0500-0000FA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7" name="Text Box 3">
          <a:extLst>
            <a:ext uri="{FF2B5EF4-FFF2-40B4-BE49-F238E27FC236}">
              <a16:creationId xmlns:a16="http://schemas.microsoft.com/office/drawing/2014/main" id="{00000000-0008-0000-0500-0000FB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8" name="Text Box 3">
          <a:extLst>
            <a:ext uri="{FF2B5EF4-FFF2-40B4-BE49-F238E27FC236}">
              <a16:creationId xmlns:a16="http://schemas.microsoft.com/office/drawing/2014/main" id="{00000000-0008-0000-0500-0000F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9" name="Text Box 3">
          <a:extLst>
            <a:ext uri="{FF2B5EF4-FFF2-40B4-BE49-F238E27FC236}">
              <a16:creationId xmlns:a16="http://schemas.microsoft.com/office/drawing/2014/main" id="{00000000-0008-0000-0500-0000FD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0" name="Text Box 3">
          <a:extLst>
            <a:ext uri="{FF2B5EF4-FFF2-40B4-BE49-F238E27FC236}">
              <a16:creationId xmlns:a16="http://schemas.microsoft.com/office/drawing/2014/main" id="{00000000-0008-0000-0500-0000F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1" name="Text Box 3">
          <a:extLst>
            <a:ext uri="{FF2B5EF4-FFF2-40B4-BE49-F238E27FC236}">
              <a16:creationId xmlns:a16="http://schemas.microsoft.com/office/drawing/2014/main" id="{00000000-0008-0000-0500-0000FF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2" name="Text Box 3">
          <a:extLst>
            <a:ext uri="{FF2B5EF4-FFF2-40B4-BE49-F238E27FC236}">
              <a16:creationId xmlns:a16="http://schemas.microsoft.com/office/drawing/2014/main" id="{00000000-0008-0000-0500-00000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3" name="Text Box 3">
          <a:extLst>
            <a:ext uri="{FF2B5EF4-FFF2-40B4-BE49-F238E27FC236}">
              <a16:creationId xmlns:a16="http://schemas.microsoft.com/office/drawing/2014/main" id="{00000000-0008-0000-0500-000001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4" name="Text Box 3">
          <a:extLst>
            <a:ext uri="{FF2B5EF4-FFF2-40B4-BE49-F238E27FC236}">
              <a16:creationId xmlns:a16="http://schemas.microsoft.com/office/drawing/2014/main" id="{00000000-0008-0000-0500-00000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5" name="Text Box 3">
          <a:extLst>
            <a:ext uri="{FF2B5EF4-FFF2-40B4-BE49-F238E27FC236}">
              <a16:creationId xmlns:a16="http://schemas.microsoft.com/office/drawing/2014/main" id="{00000000-0008-0000-0500-000003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6" name="Text Box 3">
          <a:extLst>
            <a:ext uri="{FF2B5EF4-FFF2-40B4-BE49-F238E27FC236}">
              <a16:creationId xmlns:a16="http://schemas.microsoft.com/office/drawing/2014/main" id="{00000000-0008-0000-0500-000004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7" name="Text Box 3">
          <a:extLst>
            <a:ext uri="{FF2B5EF4-FFF2-40B4-BE49-F238E27FC236}">
              <a16:creationId xmlns:a16="http://schemas.microsoft.com/office/drawing/2014/main" id="{00000000-0008-0000-0500-000005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8" name="Text Box 3">
          <a:extLst>
            <a:ext uri="{FF2B5EF4-FFF2-40B4-BE49-F238E27FC236}">
              <a16:creationId xmlns:a16="http://schemas.microsoft.com/office/drawing/2014/main" id="{00000000-0008-0000-0500-000006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9" name="Text Box 3">
          <a:extLst>
            <a:ext uri="{FF2B5EF4-FFF2-40B4-BE49-F238E27FC236}">
              <a16:creationId xmlns:a16="http://schemas.microsoft.com/office/drawing/2014/main" id="{00000000-0008-0000-0500-000007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0" name="Text Box 3">
          <a:extLst>
            <a:ext uri="{FF2B5EF4-FFF2-40B4-BE49-F238E27FC236}">
              <a16:creationId xmlns:a16="http://schemas.microsoft.com/office/drawing/2014/main" id="{00000000-0008-0000-0500-000008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1" name="Text Box 3">
          <a:extLst>
            <a:ext uri="{FF2B5EF4-FFF2-40B4-BE49-F238E27FC236}">
              <a16:creationId xmlns:a16="http://schemas.microsoft.com/office/drawing/2014/main" id="{00000000-0008-0000-0500-000009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2" name="Text Box 3">
          <a:extLst>
            <a:ext uri="{FF2B5EF4-FFF2-40B4-BE49-F238E27FC236}">
              <a16:creationId xmlns:a16="http://schemas.microsoft.com/office/drawing/2014/main" id="{00000000-0008-0000-0500-00000A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3" name="Text Box 3">
          <a:extLst>
            <a:ext uri="{FF2B5EF4-FFF2-40B4-BE49-F238E27FC236}">
              <a16:creationId xmlns:a16="http://schemas.microsoft.com/office/drawing/2014/main" id="{00000000-0008-0000-0500-00000B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4" name="Text Box 3">
          <a:extLst>
            <a:ext uri="{FF2B5EF4-FFF2-40B4-BE49-F238E27FC236}">
              <a16:creationId xmlns:a16="http://schemas.microsoft.com/office/drawing/2014/main" id="{00000000-0008-0000-0500-00000C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5" name="Text Box 3">
          <a:extLst>
            <a:ext uri="{FF2B5EF4-FFF2-40B4-BE49-F238E27FC236}">
              <a16:creationId xmlns:a16="http://schemas.microsoft.com/office/drawing/2014/main" id="{00000000-0008-0000-0500-00000D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6" name="Text Box 3">
          <a:extLst>
            <a:ext uri="{FF2B5EF4-FFF2-40B4-BE49-F238E27FC236}">
              <a16:creationId xmlns:a16="http://schemas.microsoft.com/office/drawing/2014/main" id="{00000000-0008-0000-0500-00000E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7" name="Text Box 3">
          <a:extLst>
            <a:ext uri="{FF2B5EF4-FFF2-40B4-BE49-F238E27FC236}">
              <a16:creationId xmlns:a16="http://schemas.microsoft.com/office/drawing/2014/main" id="{00000000-0008-0000-0500-00000F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8" name="Text Box 3">
          <a:extLst>
            <a:ext uri="{FF2B5EF4-FFF2-40B4-BE49-F238E27FC236}">
              <a16:creationId xmlns:a16="http://schemas.microsoft.com/office/drawing/2014/main" id="{00000000-0008-0000-0500-00001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9" name="Text Box 3">
          <a:extLst>
            <a:ext uri="{FF2B5EF4-FFF2-40B4-BE49-F238E27FC236}">
              <a16:creationId xmlns:a16="http://schemas.microsoft.com/office/drawing/2014/main" id="{00000000-0008-0000-0500-000011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30" name="Text Box 3">
          <a:extLst>
            <a:ext uri="{FF2B5EF4-FFF2-40B4-BE49-F238E27FC236}">
              <a16:creationId xmlns:a16="http://schemas.microsoft.com/office/drawing/2014/main" id="{00000000-0008-0000-0500-00001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694</xdr:row>
      <xdr:rowOff>0</xdr:rowOff>
    </xdr:from>
    <xdr:ext cx="76200" cy="200025"/>
    <xdr:sp macro="" textlink="">
      <xdr:nvSpPr>
        <xdr:cNvPr id="531" name="Text Box 3">
          <a:extLst>
            <a:ext uri="{FF2B5EF4-FFF2-40B4-BE49-F238E27FC236}">
              <a16:creationId xmlns:a16="http://schemas.microsoft.com/office/drawing/2014/main" id="{00000000-0008-0000-0500-000013020000}"/>
            </a:ext>
          </a:extLst>
        </xdr:cNvPr>
        <xdr:cNvSpPr txBox="1">
          <a:spLocks noChangeArrowheads="1"/>
        </xdr:cNvSpPr>
      </xdr:nvSpPr>
      <xdr:spPr bwMode="auto">
        <a:xfrm>
          <a:off x="4257675" y="103536750"/>
          <a:ext cx="76200" cy="200025"/>
        </a:xfrm>
        <a:prstGeom prst="rect">
          <a:avLst/>
        </a:prstGeom>
        <a:noFill/>
        <a:ln w="9525">
          <a:noFill/>
          <a:miter lim="800000"/>
          <a:headEnd/>
          <a:tailEnd/>
        </a:ln>
      </xdr:spPr>
    </xdr:sp>
    <xdr:clientData/>
  </xdr:oneCellAnchor>
  <xdr:oneCellAnchor>
    <xdr:from>
      <xdr:col>0</xdr:col>
      <xdr:colOff>0</xdr:colOff>
      <xdr:row>694</xdr:row>
      <xdr:rowOff>0</xdr:rowOff>
    </xdr:from>
    <xdr:ext cx="28575" cy="104775"/>
    <xdr:sp macro="" textlink="">
      <xdr:nvSpPr>
        <xdr:cNvPr id="532" name="Text Box 4">
          <a:extLst>
            <a:ext uri="{FF2B5EF4-FFF2-40B4-BE49-F238E27FC236}">
              <a16:creationId xmlns:a16="http://schemas.microsoft.com/office/drawing/2014/main" id="{00000000-0008-0000-0500-000014020000}"/>
            </a:ext>
          </a:extLst>
        </xdr:cNvPr>
        <xdr:cNvSpPr txBox="1">
          <a:spLocks noChangeArrowheads="1"/>
        </xdr:cNvSpPr>
      </xdr:nvSpPr>
      <xdr:spPr bwMode="auto">
        <a:xfrm>
          <a:off x="0" y="103536750"/>
          <a:ext cx="28575" cy="104775"/>
        </a:xfrm>
        <a:prstGeom prst="rect">
          <a:avLst/>
        </a:prstGeom>
        <a:noFill/>
        <a:ln w="9525">
          <a:noFill/>
          <a:miter lim="800000"/>
          <a:headEnd/>
          <a:tailEnd/>
        </a:ln>
      </xdr:spPr>
    </xdr:sp>
    <xdr:clientData/>
  </xdr:oneCellAnchor>
  <xdr:oneCellAnchor>
    <xdr:from>
      <xdr:col>6</xdr:col>
      <xdr:colOff>590550</xdr:colOff>
      <xdr:row>693</xdr:row>
      <xdr:rowOff>0</xdr:rowOff>
    </xdr:from>
    <xdr:ext cx="76200" cy="196850"/>
    <xdr:sp macro="" textlink="">
      <xdr:nvSpPr>
        <xdr:cNvPr id="533" name="Text Box 3">
          <a:extLst>
            <a:ext uri="{FF2B5EF4-FFF2-40B4-BE49-F238E27FC236}">
              <a16:creationId xmlns:a16="http://schemas.microsoft.com/office/drawing/2014/main" id="{00000000-0008-0000-0500-000015020000}"/>
            </a:ext>
          </a:extLst>
        </xdr:cNvPr>
        <xdr:cNvSpPr txBox="1">
          <a:spLocks noChangeArrowheads="1"/>
        </xdr:cNvSpPr>
      </xdr:nvSpPr>
      <xdr:spPr bwMode="auto">
        <a:xfrm>
          <a:off x="4257675" y="103336725"/>
          <a:ext cx="76200" cy="196850"/>
        </a:xfrm>
        <a:prstGeom prst="rect">
          <a:avLst/>
        </a:prstGeom>
        <a:noFill/>
        <a:ln w="9525">
          <a:noFill/>
          <a:miter lim="800000"/>
          <a:headEnd/>
          <a:tailEnd/>
        </a:ln>
      </xdr:spPr>
    </xdr:sp>
    <xdr:clientData/>
  </xdr:oneCellAnchor>
  <xdr:oneCellAnchor>
    <xdr:from>
      <xdr:col>0</xdr:col>
      <xdr:colOff>0</xdr:colOff>
      <xdr:row>693</xdr:row>
      <xdr:rowOff>0</xdr:rowOff>
    </xdr:from>
    <xdr:ext cx="28575" cy="104775"/>
    <xdr:sp macro="" textlink="">
      <xdr:nvSpPr>
        <xdr:cNvPr id="534" name="Text Box 4">
          <a:extLst>
            <a:ext uri="{FF2B5EF4-FFF2-40B4-BE49-F238E27FC236}">
              <a16:creationId xmlns:a16="http://schemas.microsoft.com/office/drawing/2014/main" id="{00000000-0008-0000-0500-000016020000}"/>
            </a:ext>
          </a:extLst>
        </xdr:cNvPr>
        <xdr:cNvSpPr txBox="1">
          <a:spLocks noChangeArrowheads="1"/>
        </xdr:cNvSpPr>
      </xdr:nvSpPr>
      <xdr:spPr bwMode="auto">
        <a:xfrm>
          <a:off x="0" y="103336725"/>
          <a:ext cx="28575" cy="10477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5" name="Text Box 3">
          <a:extLst>
            <a:ext uri="{FF2B5EF4-FFF2-40B4-BE49-F238E27FC236}">
              <a16:creationId xmlns:a16="http://schemas.microsoft.com/office/drawing/2014/main" id="{00000000-0008-0000-0500-00001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36" name="Text Box 3">
          <a:extLst>
            <a:ext uri="{FF2B5EF4-FFF2-40B4-BE49-F238E27FC236}">
              <a16:creationId xmlns:a16="http://schemas.microsoft.com/office/drawing/2014/main" id="{00000000-0008-0000-0500-000018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7" name="Text Box 3">
          <a:extLst>
            <a:ext uri="{FF2B5EF4-FFF2-40B4-BE49-F238E27FC236}">
              <a16:creationId xmlns:a16="http://schemas.microsoft.com/office/drawing/2014/main" id="{00000000-0008-0000-0500-00001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8" name="Text Box 3">
          <a:extLst>
            <a:ext uri="{FF2B5EF4-FFF2-40B4-BE49-F238E27FC236}">
              <a16:creationId xmlns:a16="http://schemas.microsoft.com/office/drawing/2014/main" id="{00000000-0008-0000-0500-00001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9" name="Text Box 3">
          <a:extLst>
            <a:ext uri="{FF2B5EF4-FFF2-40B4-BE49-F238E27FC236}">
              <a16:creationId xmlns:a16="http://schemas.microsoft.com/office/drawing/2014/main" id="{00000000-0008-0000-0500-00001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0" name="Text Box 3">
          <a:extLst>
            <a:ext uri="{FF2B5EF4-FFF2-40B4-BE49-F238E27FC236}">
              <a16:creationId xmlns:a16="http://schemas.microsoft.com/office/drawing/2014/main" id="{00000000-0008-0000-0500-00001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1" name="Text Box 3">
          <a:extLst>
            <a:ext uri="{FF2B5EF4-FFF2-40B4-BE49-F238E27FC236}">
              <a16:creationId xmlns:a16="http://schemas.microsoft.com/office/drawing/2014/main" id="{00000000-0008-0000-0500-00001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2" name="Text Box 3">
          <a:extLst>
            <a:ext uri="{FF2B5EF4-FFF2-40B4-BE49-F238E27FC236}">
              <a16:creationId xmlns:a16="http://schemas.microsoft.com/office/drawing/2014/main" id="{00000000-0008-0000-0500-00001E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3" name="Text Box 3">
          <a:extLst>
            <a:ext uri="{FF2B5EF4-FFF2-40B4-BE49-F238E27FC236}">
              <a16:creationId xmlns:a16="http://schemas.microsoft.com/office/drawing/2014/main" id="{00000000-0008-0000-0500-00001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4" name="Text Box 3">
          <a:extLst>
            <a:ext uri="{FF2B5EF4-FFF2-40B4-BE49-F238E27FC236}">
              <a16:creationId xmlns:a16="http://schemas.microsoft.com/office/drawing/2014/main" id="{00000000-0008-0000-0500-000020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5" name="Text Box 3">
          <a:extLst>
            <a:ext uri="{FF2B5EF4-FFF2-40B4-BE49-F238E27FC236}">
              <a16:creationId xmlns:a16="http://schemas.microsoft.com/office/drawing/2014/main" id="{00000000-0008-0000-0500-00002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6" name="Text Box 3">
          <a:extLst>
            <a:ext uri="{FF2B5EF4-FFF2-40B4-BE49-F238E27FC236}">
              <a16:creationId xmlns:a16="http://schemas.microsoft.com/office/drawing/2014/main" id="{00000000-0008-0000-0500-00002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7" name="Text Box 3">
          <a:extLst>
            <a:ext uri="{FF2B5EF4-FFF2-40B4-BE49-F238E27FC236}">
              <a16:creationId xmlns:a16="http://schemas.microsoft.com/office/drawing/2014/main" id="{00000000-0008-0000-0500-00002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8" name="Text Box 3">
          <a:extLst>
            <a:ext uri="{FF2B5EF4-FFF2-40B4-BE49-F238E27FC236}">
              <a16:creationId xmlns:a16="http://schemas.microsoft.com/office/drawing/2014/main" id="{00000000-0008-0000-0500-000024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9" name="Text Box 3">
          <a:extLst>
            <a:ext uri="{FF2B5EF4-FFF2-40B4-BE49-F238E27FC236}">
              <a16:creationId xmlns:a16="http://schemas.microsoft.com/office/drawing/2014/main" id="{00000000-0008-0000-0500-00002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0" name="Text Box 3">
          <a:extLst>
            <a:ext uri="{FF2B5EF4-FFF2-40B4-BE49-F238E27FC236}">
              <a16:creationId xmlns:a16="http://schemas.microsoft.com/office/drawing/2014/main" id="{00000000-0008-0000-0500-000026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1" name="Text Box 3">
          <a:extLst>
            <a:ext uri="{FF2B5EF4-FFF2-40B4-BE49-F238E27FC236}">
              <a16:creationId xmlns:a16="http://schemas.microsoft.com/office/drawing/2014/main" id="{00000000-0008-0000-0500-00002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2" name="Text Box 3">
          <a:extLst>
            <a:ext uri="{FF2B5EF4-FFF2-40B4-BE49-F238E27FC236}">
              <a16:creationId xmlns:a16="http://schemas.microsoft.com/office/drawing/2014/main" id="{00000000-0008-0000-0500-00002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3" name="Text Box 3">
          <a:extLst>
            <a:ext uri="{FF2B5EF4-FFF2-40B4-BE49-F238E27FC236}">
              <a16:creationId xmlns:a16="http://schemas.microsoft.com/office/drawing/2014/main" id="{00000000-0008-0000-0500-00002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54" name="Text Box 3">
          <a:extLst>
            <a:ext uri="{FF2B5EF4-FFF2-40B4-BE49-F238E27FC236}">
              <a16:creationId xmlns:a16="http://schemas.microsoft.com/office/drawing/2014/main" id="{00000000-0008-0000-0500-00002A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5" name="Text Box 3">
          <a:extLst>
            <a:ext uri="{FF2B5EF4-FFF2-40B4-BE49-F238E27FC236}">
              <a16:creationId xmlns:a16="http://schemas.microsoft.com/office/drawing/2014/main" id="{00000000-0008-0000-0500-00002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6" name="Text Box 3">
          <a:extLst>
            <a:ext uri="{FF2B5EF4-FFF2-40B4-BE49-F238E27FC236}">
              <a16:creationId xmlns:a16="http://schemas.microsoft.com/office/drawing/2014/main" id="{00000000-0008-0000-0500-00002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7" name="Text Box 3">
          <a:extLst>
            <a:ext uri="{FF2B5EF4-FFF2-40B4-BE49-F238E27FC236}">
              <a16:creationId xmlns:a16="http://schemas.microsoft.com/office/drawing/2014/main" id="{00000000-0008-0000-0500-00002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8" name="Text Box 3">
          <a:extLst>
            <a:ext uri="{FF2B5EF4-FFF2-40B4-BE49-F238E27FC236}">
              <a16:creationId xmlns:a16="http://schemas.microsoft.com/office/drawing/2014/main" id="{00000000-0008-0000-0500-00002E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9" name="Text Box 3">
          <a:extLst>
            <a:ext uri="{FF2B5EF4-FFF2-40B4-BE49-F238E27FC236}">
              <a16:creationId xmlns:a16="http://schemas.microsoft.com/office/drawing/2014/main" id="{00000000-0008-0000-0500-00002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0" name="Text Box 3">
          <a:extLst>
            <a:ext uri="{FF2B5EF4-FFF2-40B4-BE49-F238E27FC236}">
              <a16:creationId xmlns:a16="http://schemas.microsoft.com/office/drawing/2014/main" id="{00000000-0008-0000-0500-000030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1" name="Text Box 3">
          <a:extLst>
            <a:ext uri="{FF2B5EF4-FFF2-40B4-BE49-F238E27FC236}">
              <a16:creationId xmlns:a16="http://schemas.microsoft.com/office/drawing/2014/main" id="{00000000-0008-0000-0500-00003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2" name="Text Box 3">
          <a:extLst>
            <a:ext uri="{FF2B5EF4-FFF2-40B4-BE49-F238E27FC236}">
              <a16:creationId xmlns:a16="http://schemas.microsoft.com/office/drawing/2014/main" id="{00000000-0008-0000-0500-00003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3" name="Text Box 3">
          <a:extLst>
            <a:ext uri="{FF2B5EF4-FFF2-40B4-BE49-F238E27FC236}">
              <a16:creationId xmlns:a16="http://schemas.microsoft.com/office/drawing/2014/main" id="{00000000-0008-0000-0500-00003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4" name="Text Box 3">
          <a:extLst>
            <a:ext uri="{FF2B5EF4-FFF2-40B4-BE49-F238E27FC236}">
              <a16:creationId xmlns:a16="http://schemas.microsoft.com/office/drawing/2014/main" id="{00000000-0008-0000-0500-000034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5" name="Text Box 3">
          <a:extLst>
            <a:ext uri="{FF2B5EF4-FFF2-40B4-BE49-F238E27FC236}">
              <a16:creationId xmlns:a16="http://schemas.microsoft.com/office/drawing/2014/main" id="{00000000-0008-0000-0500-00003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6" name="Text Box 3">
          <a:extLst>
            <a:ext uri="{FF2B5EF4-FFF2-40B4-BE49-F238E27FC236}">
              <a16:creationId xmlns:a16="http://schemas.microsoft.com/office/drawing/2014/main" id="{00000000-0008-0000-0500-000036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7" name="Text Box 3">
          <a:extLst>
            <a:ext uri="{FF2B5EF4-FFF2-40B4-BE49-F238E27FC236}">
              <a16:creationId xmlns:a16="http://schemas.microsoft.com/office/drawing/2014/main" id="{00000000-0008-0000-0500-00003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8" name="Text Box 3">
          <a:extLst>
            <a:ext uri="{FF2B5EF4-FFF2-40B4-BE49-F238E27FC236}">
              <a16:creationId xmlns:a16="http://schemas.microsoft.com/office/drawing/2014/main" id="{00000000-0008-0000-0500-00003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9" name="Text Box 3">
          <a:extLst>
            <a:ext uri="{FF2B5EF4-FFF2-40B4-BE49-F238E27FC236}">
              <a16:creationId xmlns:a16="http://schemas.microsoft.com/office/drawing/2014/main" id="{00000000-0008-0000-0500-00003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0" name="Text Box 3">
          <a:extLst>
            <a:ext uri="{FF2B5EF4-FFF2-40B4-BE49-F238E27FC236}">
              <a16:creationId xmlns:a16="http://schemas.microsoft.com/office/drawing/2014/main" id="{00000000-0008-0000-0500-00003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1" name="Text Box 3">
          <a:extLst>
            <a:ext uri="{FF2B5EF4-FFF2-40B4-BE49-F238E27FC236}">
              <a16:creationId xmlns:a16="http://schemas.microsoft.com/office/drawing/2014/main" id="{00000000-0008-0000-0500-00003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72" name="Text Box 3">
          <a:extLst>
            <a:ext uri="{FF2B5EF4-FFF2-40B4-BE49-F238E27FC236}">
              <a16:creationId xmlns:a16="http://schemas.microsoft.com/office/drawing/2014/main" id="{00000000-0008-0000-0500-00003C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3" name="Text Box 3">
          <a:extLst>
            <a:ext uri="{FF2B5EF4-FFF2-40B4-BE49-F238E27FC236}">
              <a16:creationId xmlns:a16="http://schemas.microsoft.com/office/drawing/2014/main" id="{00000000-0008-0000-0500-00003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752</xdr:row>
      <xdr:rowOff>0</xdr:rowOff>
    </xdr:from>
    <xdr:ext cx="76200" cy="200025"/>
    <xdr:sp macro="" textlink="">
      <xdr:nvSpPr>
        <xdr:cNvPr id="574" name="Text Box 3">
          <a:extLst>
            <a:ext uri="{FF2B5EF4-FFF2-40B4-BE49-F238E27FC236}">
              <a16:creationId xmlns:a16="http://schemas.microsoft.com/office/drawing/2014/main" id="{00000000-0008-0000-0500-00003E020000}"/>
            </a:ext>
          </a:extLst>
        </xdr:cNvPr>
        <xdr:cNvSpPr txBox="1">
          <a:spLocks noChangeArrowheads="1"/>
        </xdr:cNvSpPr>
      </xdr:nvSpPr>
      <xdr:spPr bwMode="auto">
        <a:xfrm>
          <a:off x="4257675" y="112995075"/>
          <a:ext cx="76200" cy="200025"/>
        </a:xfrm>
        <a:prstGeom prst="rect">
          <a:avLst/>
        </a:prstGeom>
        <a:noFill/>
        <a:ln w="9525">
          <a:noFill/>
          <a:miter lim="800000"/>
          <a:headEnd/>
          <a:tailEnd/>
        </a:ln>
      </xdr:spPr>
    </xdr:sp>
    <xdr:clientData/>
  </xdr:oneCellAnchor>
  <xdr:oneCellAnchor>
    <xdr:from>
      <xdr:col>0</xdr:col>
      <xdr:colOff>0</xdr:colOff>
      <xdr:row>752</xdr:row>
      <xdr:rowOff>0</xdr:rowOff>
    </xdr:from>
    <xdr:ext cx="28575" cy="104775"/>
    <xdr:sp macro="" textlink="">
      <xdr:nvSpPr>
        <xdr:cNvPr id="575" name="Text Box 4">
          <a:extLst>
            <a:ext uri="{FF2B5EF4-FFF2-40B4-BE49-F238E27FC236}">
              <a16:creationId xmlns:a16="http://schemas.microsoft.com/office/drawing/2014/main" id="{00000000-0008-0000-0500-00003F020000}"/>
            </a:ext>
          </a:extLst>
        </xdr:cNvPr>
        <xdr:cNvSpPr txBox="1">
          <a:spLocks noChangeArrowheads="1"/>
        </xdr:cNvSpPr>
      </xdr:nvSpPr>
      <xdr:spPr bwMode="auto">
        <a:xfrm>
          <a:off x="0" y="112995075"/>
          <a:ext cx="28575" cy="104775"/>
        </a:xfrm>
        <a:prstGeom prst="rect">
          <a:avLst/>
        </a:prstGeom>
        <a:noFill/>
        <a:ln w="9525">
          <a:noFill/>
          <a:miter lim="800000"/>
          <a:headEnd/>
          <a:tailEnd/>
        </a:ln>
      </xdr:spPr>
    </xdr:sp>
    <xdr:clientData/>
  </xdr:oneCellAnchor>
  <xdr:oneCellAnchor>
    <xdr:from>
      <xdr:col>6</xdr:col>
      <xdr:colOff>590550</xdr:colOff>
      <xdr:row>751</xdr:row>
      <xdr:rowOff>0</xdr:rowOff>
    </xdr:from>
    <xdr:ext cx="76200" cy="196850"/>
    <xdr:sp macro="" textlink="">
      <xdr:nvSpPr>
        <xdr:cNvPr id="576" name="Text Box 3">
          <a:extLst>
            <a:ext uri="{FF2B5EF4-FFF2-40B4-BE49-F238E27FC236}">
              <a16:creationId xmlns:a16="http://schemas.microsoft.com/office/drawing/2014/main" id="{00000000-0008-0000-0500-000040020000}"/>
            </a:ext>
          </a:extLst>
        </xdr:cNvPr>
        <xdr:cNvSpPr txBox="1">
          <a:spLocks noChangeArrowheads="1"/>
        </xdr:cNvSpPr>
      </xdr:nvSpPr>
      <xdr:spPr bwMode="auto">
        <a:xfrm>
          <a:off x="4257675" y="112795050"/>
          <a:ext cx="76200" cy="196850"/>
        </a:xfrm>
        <a:prstGeom prst="rect">
          <a:avLst/>
        </a:prstGeom>
        <a:noFill/>
        <a:ln w="9525">
          <a:noFill/>
          <a:miter lim="800000"/>
          <a:headEnd/>
          <a:tailEnd/>
        </a:ln>
      </xdr:spPr>
    </xdr:sp>
    <xdr:clientData/>
  </xdr:oneCellAnchor>
  <xdr:oneCellAnchor>
    <xdr:from>
      <xdr:col>0</xdr:col>
      <xdr:colOff>0</xdr:colOff>
      <xdr:row>751</xdr:row>
      <xdr:rowOff>0</xdr:rowOff>
    </xdr:from>
    <xdr:ext cx="28575" cy="104775"/>
    <xdr:sp macro="" textlink="">
      <xdr:nvSpPr>
        <xdr:cNvPr id="577" name="Text Box 4">
          <a:extLst>
            <a:ext uri="{FF2B5EF4-FFF2-40B4-BE49-F238E27FC236}">
              <a16:creationId xmlns:a16="http://schemas.microsoft.com/office/drawing/2014/main" id="{00000000-0008-0000-0500-000041020000}"/>
            </a:ext>
          </a:extLst>
        </xdr:cNvPr>
        <xdr:cNvSpPr txBox="1">
          <a:spLocks noChangeArrowheads="1"/>
        </xdr:cNvSpPr>
      </xdr:nvSpPr>
      <xdr:spPr bwMode="auto">
        <a:xfrm>
          <a:off x="0" y="112795050"/>
          <a:ext cx="28575" cy="10477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78" name="Text Box 3">
          <a:extLst>
            <a:ext uri="{FF2B5EF4-FFF2-40B4-BE49-F238E27FC236}">
              <a16:creationId xmlns:a16="http://schemas.microsoft.com/office/drawing/2014/main" id="{00000000-0008-0000-0500-00004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79" name="Text Box 3">
          <a:extLst>
            <a:ext uri="{FF2B5EF4-FFF2-40B4-BE49-F238E27FC236}">
              <a16:creationId xmlns:a16="http://schemas.microsoft.com/office/drawing/2014/main" id="{00000000-0008-0000-0500-000043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0" name="Text Box 3">
          <a:extLst>
            <a:ext uri="{FF2B5EF4-FFF2-40B4-BE49-F238E27FC236}">
              <a16:creationId xmlns:a16="http://schemas.microsoft.com/office/drawing/2014/main" id="{00000000-0008-0000-0500-00004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1" name="Text Box 3">
          <a:extLst>
            <a:ext uri="{FF2B5EF4-FFF2-40B4-BE49-F238E27FC236}">
              <a16:creationId xmlns:a16="http://schemas.microsoft.com/office/drawing/2014/main" id="{00000000-0008-0000-0500-00004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2" name="Text Box 3">
          <a:extLst>
            <a:ext uri="{FF2B5EF4-FFF2-40B4-BE49-F238E27FC236}">
              <a16:creationId xmlns:a16="http://schemas.microsoft.com/office/drawing/2014/main" id="{00000000-0008-0000-0500-00004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3" name="Text Box 3">
          <a:extLst>
            <a:ext uri="{FF2B5EF4-FFF2-40B4-BE49-F238E27FC236}">
              <a16:creationId xmlns:a16="http://schemas.microsoft.com/office/drawing/2014/main" id="{00000000-0008-0000-0500-00004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4" name="Text Box 3">
          <a:extLst>
            <a:ext uri="{FF2B5EF4-FFF2-40B4-BE49-F238E27FC236}">
              <a16:creationId xmlns:a16="http://schemas.microsoft.com/office/drawing/2014/main" id="{00000000-0008-0000-0500-00004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85" name="Text Box 3">
          <a:extLst>
            <a:ext uri="{FF2B5EF4-FFF2-40B4-BE49-F238E27FC236}">
              <a16:creationId xmlns:a16="http://schemas.microsoft.com/office/drawing/2014/main" id="{00000000-0008-0000-0500-000049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6" name="Text Box 3">
          <a:extLst>
            <a:ext uri="{FF2B5EF4-FFF2-40B4-BE49-F238E27FC236}">
              <a16:creationId xmlns:a16="http://schemas.microsoft.com/office/drawing/2014/main" id="{00000000-0008-0000-0500-00004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7" name="Text Box 3">
          <a:extLst>
            <a:ext uri="{FF2B5EF4-FFF2-40B4-BE49-F238E27FC236}">
              <a16:creationId xmlns:a16="http://schemas.microsoft.com/office/drawing/2014/main" id="{00000000-0008-0000-0500-00004B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8" name="Text Box 3">
          <a:extLst>
            <a:ext uri="{FF2B5EF4-FFF2-40B4-BE49-F238E27FC236}">
              <a16:creationId xmlns:a16="http://schemas.microsoft.com/office/drawing/2014/main" id="{00000000-0008-0000-0500-00004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9" name="Text Box 3">
          <a:extLst>
            <a:ext uri="{FF2B5EF4-FFF2-40B4-BE49-F238E27FC236}">
              <a16:creationId xmlns:a16="http://schemas.microsoft.com/office/drawing/2014/main" id="{00000000-0008-0000-0500-00004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0" name="Text Box 3">
          <a:extLst>
            <a:ext uri="{FF2B5EF4-FFF2-40B4-BE49-F238E27FC236}">
              <a16:creationId xmlns:a16="http://schemas.microsoft.com/office/drawing/2014/main" id="{00000000-0008-0000-0500-00004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1" name="Text Box 3">
          <a:extLst>
            <a:ext uri="{FF2B5EF4-FFF2-40B4-BE49-F238E27FC236}">
              <a16:creationId xmlns:a16="http://schemas.microsoft.com/office/drawing/2014/main" id="{00000000-0008-0000-0500-00004F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2" name="Text Box 3">
          <a:extLst>
            <a:ext uri="{FF2B5EF4-FFF2-40B4-BE49-F238E27FC236}">
              <a16:creationId xmlns:a16="http://schemas.microsoft.com/office/drawing/2014/main" id="{00000000-0008-0000-0500-00005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3" name="Text Box 3">
          <a:extLst>
            <a:ext uri="{FF2B5EF4-FFF2-40B4-BE49-F238E27FC236}">
              <a16:creationId xmlns:a16="http://schemas.microsoft.com/office/drawing/2014/main" id="{00000000-0008-0000-0500-000051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4" name="Text Box 3">
          <a:extLst>
            <a:ext uri="{FF2B5EF4-FFF2-40B4-BE49-F238E27FC236}">
              <a16:creationId xmlns:a16="http://schemas.microsoft.com/office/drawing/2014/main" id="{00000000-0008-0000-0500-00005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5" name="Text Box 3">
          <a:extLst>
            <a:ext uri="{FF2B5EF4-FFF2-40B4-BE49-F238E27FC236}">
              <a16:creationId xmlns:a16="http://schemas.microsoft.com/office/drawing/2014/main" id="{00000000-0008-0000-0500-00005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6" name="Text Box 3">
          <a:extLst>
            <a:ext uri="{FF2B5EF4-FFF2-40B4-BE49-F238E27FC236}">
              <a16:creationId xmlns:a16="http://schemas.microsoft.com/office/drawing/2014/main" id="{00000000-0008-0000-0500-00005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7" name="Text Box 3">
          <a:extLst>
            <a:ext uri="{FF2B5EF4-FFF2-40B4-BE49-F238E27FC236}">
              <a16:creationId xmlns:a16="http://schemas.microsoft.com/office/drawing/2014/main" id="{00000000-0008-0000-0500-000055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8" name="Text Box 3">
          <a:extLst>
            <a:ext uri="{FF2B5EF4-FFF2-40B4-BE49-F238E27FC236}">
              <a16:creationId xmlns:a16="http://schemas.microsoft.com/office/drawing/2014/main" id="{00000000-0008-0000-0500-00005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9" name="Text Box 3">
          <a:extLst>
            <a:ext uri="{FF2B5EF4-FFF2-40B4-BE49-F238E27FC236}">
              <a16:creationId xmlns:a16="http://schemas.microsoft.com/office/drawing/2014/main" id="{00000000-0008-0000-0500-00005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0" name="Text Box 3">
          <a:extLst>
            <a:ext uri="{FF2B5EF4-FFF2-40B4-BE49-F238E27FC236}">
              <a16:creationId xmlns:a16="http://schemas.microsoft.com/office/drawing/2014/main" id="{00000000-0008-0000-0500-00005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1" name="Text Box 3">
          <a:extLst>
            <a:ext uri="{FF2B5EF4-FFF2-40B4-BE49-F238E27FC236}">
              <a16:creationId xmlns:a16="http://schemas.microsoft.com/office/drawing/2014/main" id="{00000000-0008-0000-0500-000059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2" name="Text Box 3">
          <a:extLst>
            <a:ext uri="{FF2B5EF4-FFF2-40B4-BE49-F238E27FC236}">
              <a16:creationId xmlns:a16="http://schemas.microsoft.com/office/drawing/2014/main" id="{00000000-0008-0000-0500-00005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3" name="Text Box 3">
          <a:extLst>
            <a:ext uri="{FF2B5EF4-FFF2-40B4-BE49-F238E27FC236}">
              <a16:creationId xmlns:a16="http://schemas.microsoft.com/office/drawing/2014/main" id="{00000000-0008-0000-0500-00005B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4" name="Text Box 3">
          <a:extLst>
            <a:ext uri="{FF2B5EF4-FFF2-40B4-BE49-F238E27FC236}">
              <a16:creationId xmlns:a16="http://schemas.microsoft.com/office/drawing/2014/main" id="{00000000-0008-0000-0500-00005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5" name="Text Box 3">
          <a:extLst>
            <a:ext uri="{FF2B5EF4-FFF2-40B4-BE49-F238E27FC236}">
              <a16:creationId xmlns:a16="http://schemas.microsoft.com/office/drawing/2014/main" id="{00000000-0008-0000-0500-00005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6" name="Text Box 3">
          <a:extLst>
            <a:ext uri="{FF2B5EF4-FFF2-40B4-BE49-F238E27FC236}">
              <a16:creationId xmlns:a16="http://schemas.microsoft.com/office/drawing/2014/main" id="{00000000-0008-0000-0500-00005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7" name="Text Box 3">
          <a:extLst>
            <a:ext uri="{FF2B5EF4-FFF2-40B4-BE49-F238E27FC236}">
              <a16:creationId xmlns:a16="http://schemas.microsoft.com/office/drawing/2014/main" id="{00000000-0008-0000-0500-00005F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8" name="Text Box 3">
          <a:extLst>
            <a:ext uri="{FF2B5EF4-FFF2-40B4-BE49-F238E27FC236}">
              <a16:creationId xmlns:a16="http://schemas.microsoft.com/office/drawing/2014/main" id="{00000000-0008-0000-0500-00006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9" name="Text Box 3">
          <a:extLst>
            <a:ext uri="{FF2B5EF4-FFF2-40B4-BE49-F238E27FC236}">
              <a16:creationId xmlns:a16="http://schemas.microsoft.com/office/drawing/2014/main" id="{00000000-0008-0000-0500-000061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0" name="Text Box 3">
          <a:extLst>
            <a:ext uri="{FF2B5EF4-FFF2-40B4-BE49-F238E27FC236}">
              <a16:creationId xmlns:a16="http://schemas.microsoft.com/office/drawing/2014/main" id="{00000000-0008-0000-0500-00006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1" name="Text Box 3">
          <a:extLst>
            <a:ext uri="{FF2B5EF4-FFF2-40B4-BE49-F238E27FC236}">
              <a16:creationId xmlns:a16="http://schemas.microsoft.com/office/drawing/2014/main" id="{00000000-0008-0000-0500-00006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2" name="Text Box 3">
          <a:extLst>
            <a:ext uri="{FF2B5EF4-FFF2-40B4-BE49-F238E27FC236}">
              <a16:creationId xmlns:a16="http://schemas.microsoft.com/office/drawing/2014/main" id="{00000000-0008-0000-0500-00006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3" name="Text Box 3">
          <a:extLst>
            <a:ext uri="{FF2B5EF4-FFF2-40B4-BE49-F238E27FC236}">
              <a16:creationId xmlns:a16="http://schemas.microsoft.com/office/drawing/2014/main" id="{00000000-0008-0000-0500-00006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4" name="Text Box 3">
          <a:extLst>
            <a:ext uri="{FF2B5EF4-FFF2-40B4-BE49-F238E27FC236}">
              <a16:creationId xmlns:a16="http://schemas.microsoft.com/office/drawing/2014/main" id="{00000000-0008-0000-0500-00006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15" name="Text Box 3">
          <a:extLst>
            <a:ext uri="{FF2B5EF4-FFF2-40B4-BE49-F238E27FC236}">
              <a16:creationId xmlns:a16="http://schemas.microsoft.com/office/drawing/2014/main" id="{00000000-0008-0000-0500-000067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6" name="Text Box 3">
          <a:extLst>
            <a:ext uri="{FF2B5EF4-FFF2-40B4-BE49-F238E27FC236}">
              <a16:creationId xmlns:a16="http://schemas.microsoft.com/office/drawing/2014/main" id="{00000000-0008-0000-0500-00006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810</xdr:row>
      <xdr:rowOff>0</xdr:rowOff>
    </xdr:from>
    <xdr:ext cx="76200" cy="200025"/>
    <xdr:sp macro="" textlink="">
      <xdr:nvSpPr>
        <xdr:cNvPr id="617" name="Text Box 3">
          <a:extLst>
            <a:ext uri="{FF2B5EF4-FFF2-40B4-BE49-F238E27FC236}">
              <a16:creationId xmlns:a16="http://schemas.microsoft.com/office/drawing/2014/main" id="{00000000-0008-0000-0500-000069020000}"/>
            </a:ext>
          </a:extLst>
        </xdr:cNvPr>
        <xdr:cNvSpPr txBox="1">
          <a:spLocks noChangeArrowheads="1"/>
        </xdr:cNvSpPr>
      </xdr:nvSpPr>
      <xdr:spPr bwMode="auto">
        <a:xfrm>
          <a:off x="4257675" y="122453400"/>
          <a:ext cx="76200" cy="200025"/>
        </a:xfrm>
        <a:prstGeom prst="rect">
          <a:avLst/>
        </a:prstGeom>
        <a:noFill/>
        <a:ln w="9525">
          <a:noFill/>
          <a:miter lim="800000"/>
          <a:headEnd/>
          <a:tailEnd/>
        </a:ln>
      </xdr:spPr>
    </xdr:sp>
    <xdr:clientData/>
  </xdr:oneCellAnchor>
  <xdr:oneCellAnchor>
    <xdr:from>
      <xdr:col>0</xdr:col>
      <xdr:colOff>0</xdr:colOff>
      <xdr:row>810</xdr:row>
      <xdr:rowOff>0</xdr:rowOff>
    </xdr:from>
    <xdr:ext cx="28575" cy="104775"/>
    <xdr:sp macro="" textlink="">
      <xdr:nvSpPr>
        <xdr:cNvPr id="618" name="Text Box 4">
          <a:extLst>
            <a:ext uri="{FF2B5EF4-FFF2-40B4-BE49-F238E27FC236}">
              <a16:creationId xmlns:a16="http://schemas.microsoft.com/office/drawing/2014/main" id="{00000000-0008-0000-0500-00006A020000}"/>
            </a:ext>
          </a:extLst>
        </xdr:cNvPr>
        <xdr:cNvSpPr txBox="1">
          <a:spLocks noChangeArrowheads="1"/>
        </xdr:cNvSpPr>
      </xdr:nvSpPr>
      <xdr:spPr bwMode="auto">
        <a:xfrm>
          <a:off x="0" y="122453400"/>
          <a:ext cx="28575" cy="104775"/>
        </a:xfrm>
        <a:prstGeom prst="rect">
          <a:avLst/>
        </a:prstGeom>
        <a:noFill/>
        <a:ln w="9525">
          <a:noFill/>
          <a:miter lim="800000"/>
          <a:headEnd/>
          <a:tailEnd/>
        </a:ln>
      </xdr:spPr>
    </xdr:sp>
    <xdr:clientData/>
  </xdr:oneCellAnchor>
  <xdr:oneCellAnchor>
    <xdr:from>
      <xdr:col>6</xdr:col>
      <xdr:colOff>590550</xdr:colOff>
      <xdr:row>809</xdr:row>
      <xdr:rowOff>0</xdr:rowOff>
    </xdr:from>
    <xdr:ext cx="76200" cy="196850"/>
    <xdr:sp macro="" textlink="">
      <xdr:nvSpPr>
        <xdr:cNvPr id="619" name="Text Box 3">
          <a:extLst>
            <a:ext uri="{FF2B5EF4-FFF2-40B4-BE49-F238E27FC236}">
              <a16:creationId xmlns:a16="http://schemas.microsoft.com/office/drawing/2014/main" id="{00000000-0008-0000-0500-00006B020000}"/>
            </a:ext>
          </a:extLst>
        </xdr:cNvPr>
        <xdr:cNvSpPr txBox="1">
          <a:spLocks noChangeArrowheads="1"/>
        </xdr:cNvSpPr>
      </xdr:nvSpPr>
      <xdr:spPr bwMode="auto">
        <a:xfrm>
          <a:off x="4257675" y="122253375"/>
          <a:ext cx="76200" cy="196850"/>
        </a:xfrm>
        <a:prstGeom prst="rect">
          <a:avLst/>
        </a:prstGeom>
        <a:noFill/>
        <a:ln w="9525">
          <a:noFill/>
          <a:miter lim="800000"/>
          <a:headEnd/>
          <a:tailEnd/>
        </a:ln>
      </xdr:spPr>
    </xdr:sp>
    <xdr:clientData/>
  </xdr:oneCellAnchor>
  <xdr:oneCellAnchor>
    <xdr:from>
      <xdr:col>0</xdr:col>
      <xdr:colOff>0</xdr:colOff>
      <xdr:row>809</xdr:row>
      <xdr:rowOff>0</xdr:rowOff>
    </xdr:from>
    <xdr:ext cx="28575" cy="104775"/>
    <xdr:sp macro="" textlink="">
      <xdr:nvSpPr>
        <xdr:cNvPr id="620" name="Text Box 4">
          <a:extLst>
            <a:ext uri="{FF2B5EF4-FFF2-40B4-BE49-F238E27FC236}">
              <a16:creationId xmlns:a16="http://schemas.microsoft.com/office/drawing/2014/main" id="{00000000-0008-0000-0500-00006C020000}"/>
            </a:ext>
          </a:extLst>
        </xdr:cNvPr>
        <xdr:cNvSpPr txBox="1">
          <a:spLocks noChangeArrowheads="1"/>
        </xdr:cNvSpPr>
      </xdr:nvSpPr>
      <xdr:spPr bwMode="auto">
        <a:xfrm>
          <a:off x="0" y="122253375"/>
          <a:ext cx="28575" cy="10477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1" name="Text Box 3">
          <a:extLst>
            <a:ext uri="{FF2B5EF4-FFF2-40B4-BE49-F238E27FC236}">
              <a16:creationId xmlns:a16="http://schemas.microsoft.com/office/drawing/2014/main" id="{00000000-0008-0000-0500-00006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2" name="Text Box 3">
          <a:extLst>
            <a:ext uri="{FF2B5EF4-FFF2-40B4-BE49-F238E27FC236}">
              <a16:creationId xmlns:a16="http://schemas.microsoft.com/office/drawing/2014/main" id="{00000000-0008-0000-0500-00006E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3" name="Text Box 3">
          <a:extLst>
            <a:ext uri="{FF2B5EF4-FFF2-40B4-BE49-F238E27FC236}">
              <a16:creationId xmlns:a16="http://schemas.microsoft.com/office/drawing/2014/main" id="{00000000-0008-0000-0500-00006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4" name="Text Box 3">
          <a:extLst>
            <a:ext uri="{FF2B5EF4-FFF2-40B4-BE49-F238E27FC236}">
              <a16:creationId xmlns:a16="http://schemas.microsoft.com/office/drawing/2014/main" id="{00000000-0008-0000-0500-00007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5" name="Text Box 3">
          <a:extLst>
            <a:ext uri="{FF2B5EF4-FFF2-40B4-BE49-F238E27FC236}">
              <a16:creationId xmlns:a16="http://schemas.microsoft.com/office/drawing/2014/main" id="{00000000-0008-0000-0500-00007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6" name="Text Box 3">
          <a:extLst>
            <a:ext uri="{FF2B5EF4-FFF2-40B4-BE49-F238E27FC236}">
              <a16:creationId xmlns:a16="http://schemas.microsoft.com/office/drawing/2014/main" id="{00000000-0008-0000-0500-00007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7" name="Text Box 3">
          <a:extLst>
            <a:ext uri="{FF2B5EF4-FFF2-40B4-BE49-F238E27FC236}">
              <a16:creationId xmlns:a16="http://schemas.microsoft.com/office/drawing/2014/main" id="{00000000-0008-0000-0500-00007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8" name="Text Box 3">
          <a:extLst>
            <a:ext uri="{FF2B5EF4-FFF2-40B4-BE49-F238E27FC236}">
              <a16:creationId xmlns:a16="http://schemas.microsoft.com/office/drawing/2014/main" id="{00000000-0008-0000-0500-000074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9" name="Text Box 3">
          <a:extLst>
            <a:ext uri="{FF2B5EF4-FFF2-40B4-BE49-F238E27FC236}">
              <a16:creationId xmlns:a16="http://schemas.microsoft.com/office/drawing/2014/main" id="{00000000-0008-0000-0500-00007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0" name="Text Box 3">
          <a:extLst>
            <a:ext uri="{FF2B5EF4-FFF2-40B4-BE49-F238E27FC236}">
              <a16:creationId xmlns:a16="http://schemas.microsoft.com/office/drawing/2014/main" id="{00000000-0008-0000-0500-000076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1" name="Text Box 3">
          <a:extLst>
            <a:ext uri="{FF2B5EF4-FFF2-40B4-BE49-F238E27FC236}">
              <a16:creationId xmlns:a16="http://schemas.microsoft.com/office/drawing/2014/main" id="{00000000-0008-0000-0500-00007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2" name="Text Box 3">
          <a:extLst>
            <a:ext uri="{FF2B5EF4-FFF2-40B4-BE49-F238E27FC236}">
              <a16:creationId xmlns:a16="http://schemas.microsoft.com/office/drawing/2014/main" id="{00000000-0008-0000-0500-00007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3" name="Text Box 3">
          <a:extLst>
            <a:ext uri="{FF2B5EF4-FFF2-40B4-BE49-F238E27FC236}">
              <a16:creationId xmlns:a16="http://schemas.microsoft.com/office/drawing/2014/main" id="{00000000-0008-0000-0500-00007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34" name="Text Box 3">
          <a:extLst>
            <a:ext uri="{FF2B5EF4-FFF2-40B4-BE49-F238E27FC236}">
              <a16:creationId xmlns:a16="http://schemas.microsoft.com/office/drawing/2014/main" id="{00000000-0008-0000-0500-00007A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5" name="Text Box 3">
          <a:extLst>
            <a:ext uri="{FF2B5EF4-FFF2-40B4-BE49-F238E27FC236}">
              <a16:creationId xmlns:a16="http://schemas.microsoft.com/office/drawing/2014/main" id="{00000000-0008-0000-0500-00007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6" name="Text Box 3">
          <a:extLst>
            <a:ext uri="{FF2B5EF4-FFF2-40B4-BE49-F238E27FC236}">
              <a16:creationId xmlns:a16="http://schemas.microsoft.com/office/drawing/2014/main" id="{00000000-0008-0000-0500-00007C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7" name="Text Box 3">
          <a:extLst>
            <a:ext uri="{FF2B5EF4-FFF2-40B4-BE49-F238E27FC236}">
              <a16:creationId xmlns:a16="http://schemas.microsoft.com/office/drawing/2014/main" id="{00000000-0008-0000-0500-00007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8" name="Text Box 3">
          <a:extLst>
            <a:ext uri="{FF2B5EF4-FFF2-40B4-BE49-F238E27FC236}">
              <a16:creationId xmlns:a16="http://schemas.microsoft.com/office/drawing/2014/main" id="{00000000-0008-0000-0500-00007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9" name="Text Box 3">
          <a:extLst>
            <a:ext uri="{FF2B5EF4-FFF2-40B4-BE49-F238E27FC236}">
              <a16:creationId xmlns:a16="http://schemas.microsoft.com/office/drawing/2014/main" id="{00000000-0008-0000-0500-00007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0" name="Text Box 3">
          <a:extLst>
            <a:ext uri="{FF2B5EF4-FFF2-40B4-BE49-F238E27FC236}">
              <a16:creationId xmlns:a16="http://schemas.microsoft.com/office/drawing/2014/main" id="{00000000-0008-0000-0500-000080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1" name="Text Box 3">
          <a:extLst>
            <a:ext uri="{FF2B5EF4-FFF2-40B4-BE49-F238E27FC236}">
              <a16:creationId xmlns:a16="http://schemas.microsoft.com/office/drawing/2014/main" id="{00000000-0008-0000-0500-00008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2" name="Text Box 3">
          <a:extLst>
            <a:ext uri="{FF2B5EF4-FFF2-40B4-BE49-F238E27FC236}">
              <a16:creationId xmlns:a16="http://schemas.microsoft.com/office/drawing/2014/main" id="{00000000-0008-0000-0500-00008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3" name="Text Box 3">
          <a:extLst>
            <a:ext uri="{FF2B5EF4-FFF2-40B4-BE49-F238E27FC236}">
              <a16:creationId xmlns:a16="http://schemas.microsoft.com/office/drawing/2014/main" id="{00000000-0008-0000-0500-00008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4" name="Text Box 3">
          <a:extLst>
            <a:ext uri="{FF2B5EF4-FFF2-40B4-BE49-F238E27FC236}">
              <a16:creationId xmlns:a16="http://schemas.microsoft.com/office/drawing/2014/main" id="{00000000-0008-0000-0500-000084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5" name="Text Box 3">
          <a:extLst>
            <a:ext uri="{FF2B5EF4-FFF2-40B4-BE49-F238E27FC236}">
              <a16:creationId xmlns:a16="http://schemas.microsoft.com/office/drawing/2014/main" id="{00000000-0008-0000-0500-00008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6" name="Text Box 3">
          <a:extLst>
            <a:ext uri="{FF2B5EF4-FFF2-40B4-BE49-F238E27FC236}">
              <a16:creationId xmlns:a16="http://schemas.microsoft.com/office/drawing/2014/main" id="{00000000-0008-0000-0500-000086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7" name="Text Box 3">
          <a:extLst>
            <a:ext uri="{FF2B5EF4-FFF2-40B4-BE49-F238E27FC236}">
              <a16:creationId xmlns:a16="http://schemas.microsoft.com/office/drawing/2014/main" id="{00000000-0008-0000-0500-00008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8" name="Text Box 3">
          <a:extLst>
            <a:ext uri="{FF2B5EF4-FFF2-40B4-BE49-F238E27FC236}">
              <a16:creationId xmlns:a16="http://schemas.microsoft.com/office/drawing/2014/main" id="{00000000-0008-0000-0500-00008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9" name="Text Box 3">
          <a:extLst>
            <a:ext uri="{FF2B5EF4-FFF2-40B4-BE49-F238E27FC236}">
              <a16:creationId xmlns:a16="http://schemas.microsoft.com/office/drawing/2014/main" id="{00000000-0008-0000-0500-00008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0" name="Text Box 3">
          <a:extLst>
            <a:ext uri="{FF2B5EF4-FFF2-40B4-BE49-F238E27FC236}">
              <a16:creationId xmlns:a16="http://schemas.microsoft.com/office/drawing/2014/main" id="{00000000-0008-0000-0500-00008A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1" name="Text Box 3">
          <a:extLst>
            <a:ext uri="{FF2B5EF4-FFF2-40B4-BE49-F238E27FC236}">
              <a16:creationId xmlns:a16="http://schemas.microsoft.com/office/drawing/2014/main" id="{00000000-0008-0000-0500-00008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2" name="Text Box 3">
          <a:extLst>
            <a:ext uri="{FF2B5EF4-FFF2-40B4-BE49-F238E27FC236}">
              <a16:creationId xmlns:a16="http://schemas.microsoft.com/office/drawing/2014/main" id="{00000000-0008-0000-0500-00008C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3" name="Text Box 3">
          <a:extLst>
            <a:ext uri="{FF2B5EF4-FFF2-40B4-BE49-F238E27FC236}">
              <a16:creationId xmlns:a16="http://schemas.microsoft.com/office/drawing/2014/main" id="{00000000-0008-0000-0500-00008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4" name="Text Box 3">
          <a:extLst>
            <a:ext uri="{FF2B5EF4-FFF2-40B4-BE49-F238E27FC236}">
              <a16:creationId xmlns:a16="http://schemas.microsoft.com/office/drawing/2014/main" id="{00000000-0008-0000-0500-00008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5" name="Text Box 3">
          <a:extLst>
            <a:ext uri="{FF2B5EF4-FFF2-40B4-BE49-F238E27FC236}">
              <a16:creationId xmlns:a16="http://schemas.microsoft.com/office/drawing/2014/main" id="{00000000-0008-0000-0500-00008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6" name="Text Box 3">
          <a:extLst>
            <a:ext uri="{FF2B5EF4-FFF2-40B4-BE49-F238E27FC236}">
              <a16:creationId xmlns:a16="http://schemas.microsoft.com/office/drawing/2014/main" id="{00000000-0008-0000-0500-00009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7" name="Text Box 3">
          <a:extLst>
            <a:ext uri="{FF2B5EF4-FFF2-40B4-BE49-F238E27FC236}">
              <a16:creationId xmlns:a16="http://schemas.microsoft.com/office/drawing/2014/main" id="{00000000-0008-0000-0500-00009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8" name="Text Box 3">
          <a:extLst>
            <a:ext uri="{FF2B5EF4-FFF2-40B4-BE49-F238E27FC236}">
              <a16:creationId xmlns:a16="http://schemas.microsoft.com/office/drawing/2014/main" id="{00000000-0008-0000-0500-000092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9" name="Text Box 3">
          <a:extLst>
            <a:ext uri="{FF2B5EF4-FFF2-40B4-BE49-F238E27FC236}">
              <a16:creationId xmlns:a16="http://schemas.microsoft.com/office/drawing/2014/main" id="{00000000-0008-0000-0500-00009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868</xdr:row>
      <xdr:rowOff>0</xdr:rowOff>
    </xdr:from>
    <xdr:ext cx="76200" cy="200025"/>
    <xdr:sp macro="" textlink="">
      <xdr:nvSpPr>
        <xdr:cNvPr id="660" name="Text Box 3">
          <a:extLst>
            <a:ext uri="{FF2B5EF4-FFF2-40B4-BE49-F238E27FC236}">
              <a16:creationId xmlns:a16="http://schemas.microsoft.com/office/drawing/2014/main" id="{00000000-0008-0000-0500-000094020000}"/>
            </a:ext>
          </a:extLst>
        </xdr:cNvPr>
        <xdr:cNvSpPr txBox="1">
          <a:spLocks noChangeArrowheads="1"/>
        </xdr:cNvSpPr>
      </xdr:nvSpPr>
      <xdr:spPr bwMode="auto">
        <a:xfrm>
          <a:off x="4257675" y="131911725"/>
          <a:ext cx="76200" cy="200025"/>
        </a:xfrm>
        <a:prstGeom prst="rect">
          <a:avLst/>
        </a:prstGeom>
        <a:noFill/>
        <a:ln w="9525">
          <a:noFill/>
          <a:miter lim="800000"/>
          <a:headEnd/>
          <a:tailEnd/>
        </a:ln>
      </xdr:spPr>
    </xdr:sp>
    <xdr:clientData/>
  </xdr:oneCellAnchor>
  <xdr:oneCellAnchor>
    <xdr:from>
      <xdr:col>0</xdr:col>
      <xdr:colOff>0</xdr:colOff>
      <xdr:row>868</xdr:row>
      <xdr:rowOff>0</xdr:rowOff>
    </xdr:from>
    <xdr:ext cx="28575" cy="104775"/>
    <xdr:sp macro="" textlink="">
      <xdr:nvSpPr>
        <xdr:cNvPr id="661" name="Text Box 4">
          <a:extLst>
            <a:ext uri="{FF2B5EF4-FFF2-40B4-BE49-F238E27FC236}">
              <a16:creationId xmlns:a16="http://schemas.microsoft.com/office/drawing/2014/main" id="{00000000-0008-0000-0500-000095020000}"/>
            </a:ext>
          </a:extLst>
        </xdr:cNvPr>
        <xdr:cNvSpPr txBox="1">
          <a:spLocks noChangeArrowheads="1"/>
        </xdr:cNvSpPr>
      </xdr:nvSpPr>
      <xdr:spPr bwMode="auto">
        <a:xfrm>
          <a:off x="0" y="131911725"/>
          <a:ext cx="28575" cy="104775"/>
        </a:xfrm>
        <a:prstGeom prst="rect">
          <a:avLst/>
        </a:prstGeom>
        <a:noFill/>
        <a:ln w="9525">
          <a:noFill/>
          <a:miter lim="800000"/>
          <a:headEnd/>
          <a:tailEnd/>
        </a:ln>
      </xdr:spPr>
    </xdr:sp>
    <xdr:clientData/>
  </xdr:oneCellAnchor>
  <xdr:oneCellAnchor>
    <xdr:from>
      <xdr:col>6</xdr:col>
      <xdr:colOff>590550</xdr:colOff>
      <xdr:row>867</xdr:row>
      <xdr:rowOff>0</xdr:rowOff>
    </xdr:from>
    <xdr:ext cx="76200" cy="196850"/>
    <xdr:sp macro="" textlink="">
      <xdr:nvSpPr>
        <xdr:cNvPr id="662" name="Text Box 3">
          <a:extLst>
            <a:ext uri="{FF2B5EF4-FFF2-40B4-BE49-F238E27FC236}">
              <a16:creationId xmlns:a16="http://schemas.microsoft.com/office/drawing/2014/main" id="{00000000-0008-0000-0500-000096020000}"/>
            </a:ext>
          </a:extLst>
        </xdr:cNvPr>
        <xdr:cNvSpPr txBox="1">
          <a:spLocks noChangeArrowheads="1"/>
        </xdr:cNvSpPr>
      </xdr:nvSpPr>
      <xdr:spPr bwMode="auto">
        <a:xfrm>
          <a:off x="4257675" y="131711700"/>
          <a:ext cx="76200" cy="196850"/>
        </a:xfrm>
        <a:prstGeom prst="rect">
          <a:avLst/>
        </a:prstGeom>
        <a:noFill/>
        <a:ln w="9525">
          <a:noFill/>
          <a:miter lim="800000"/>
          <a:headEnd/>
          <a:tailEnd/>
        </a:ln>
      </xdr:spPr>
    </xdr:sp>
    <xdr:clientData/>
  </xdr:oneCellAnchor>
  <xdr:oneCellAnchor>
    <xdr:from>
      <xdr:col>0</xdr:col>
      <xdr:colOff>0</xdr:colOff>
      <xdr:row>867</xdr:row>
      <xdr:rowOff>0</xdr:rowOff>
    </xdr:from>
    <xdr:ext cx="28575" cy="104775"/>
    <xdr:sp macro="" textlink="">
      <xdr:nvSpPr>
        <xdr:cNvPr id="663" name="Text Box 4">
          <a:extLst>
            <a:ext uri="{FF2B5EF4-FFF2-40B4-BE49-F238E27FC236}">
              <a16:creationId xmlns:a16="http://schemas.microsoft.com/office/drawing/2014/main" id="{00000000-0008-0000-0500-000097020000}"/>
            </a:ext>
          </a:extLst>
        </xdr:cNvPr>
        <xdr:cNvSpPr txBox="1">
          <a:spLocks noChangeArrowheads="1"/>
        </xdr:cNvSpPr>
      </xdr:nvSpPr>
      <xdr:spPr bwMode="auto">
        <a:xfrm>
          <a:off x="0" y="131711700"/>
          <a:ext cx="28575" cy="10477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7" name="Text Box 3">
          <a:extLst>
            <a:ext uri="{FF2B5EF4-FFF2-40B4-BE49-F238E27FC236}">
              <a16:creationId xmlns:a16="http://schemas.microsoft.com/office/drawing/2014/main" id="{00000000-0008-0000-0500-0000C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08" name="Text Box 3">
          <a:extLst>
            <a:ext uri="{FF2B5EF4-FFF2-40B4-BE49-F238E27FC236}">
              <a16:creationId xmlns:a16="http://schemas.microsoft.com/office/drawing/2014/main" id="{00000000-0008-0000-0500-0000C4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9" name="Text Box 3">
          <a:extLst>
            <a:ext uri="{FF2B5EF4-FFF2-40B4-BE49-F238E27FC236}">
              <a16:creationId xmlns:a16="http://schemas.microsoft.com/office/drawing/2014/main" id="{00000000-0008-0000-0500-0000C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0" name="Text Box 3">
          <a:extLst>
            <a:ext uri="{FF2B5EF4-FFF2-40B4-BE49-F238E27FC236}">
              <a16:creationId xmlns:a16="http://schemas.microsoft.com/office/drawing/2014/main" id="{00000000-0008-0000-0500-0000C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1" name="Text Box 3">
          <a:extLst>
            <a:ext uri="{FF2B5EF4-FFF2-40B4-BE49-F238E27FC236}">
              <a16:creationId xmlns:a16="http://schemas.microsoft.com/office/drawing/2014/main" id="{00000000-0008-0000-0500-0000C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2" name="Text Box 3">
          <a:extLst>
            <a:ext uri="{FF2B5EF4-FFF2-40B4-BE49-F238E27FC236}">
              <a16:creationId xmlns:a16="http://schemas.microsoft.com/office/drawing/2014/main" id="{00000000-0008-0000-0500-0000C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3" name="Text Box 3">
          <a:extLst>
            <a:ext uri="{FF2B5EF4-FFF2-40B4-BE49-F238E27FC236}">
              <a16:creationId xmlns:a16="http://schemas.microsoft.com/office/drawing/2014/main" id="{00000000-0008-0000-0500-0000C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14" name="Text Box 3">
          <a:extLst>
            <a:ext uri="{FF2B5EF4-FFF2-40B4-BE49-F238E27FC236}">
              <a16:creationId xmlns:a16="http://schemas.microsoft.com/office/drawing/2014/main" id="{00000000-0008-0000-0500-0000CA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5" name="Text Box 3">
          <a:extLst>
            <a:ext uri="{FF2B5EF4-FFF2-40B4-BE49-F238E27FC236}">
              <a16:creationId xmlns:a16="http://schemas.microsoft.com/office/drawing/2014/main" id="{00000000-0008-0000-0500-0000C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6" name="Text Box 3">
          <a:extLst>
            <a:ext uri="{FF2B5EF4-FFF2-40B4-BE49-F238E27FC236}">
              <a16:creationId xmlns:a16="http://schemas.microsoft.com/office/drawing/2014/main" id="{00000000-0008-0000-0500-0000CC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7" name="Text Box 3">
          <a:extLst>
            <a:ext uri="{FF2B5EF4-FFF2-40B4-BE49-F238E27FC236}">
              <a16:creationId xmlns:a16="http://schemas.microsoft.com/office/drawing/2014/main" id="{00000000-0008-0000-0500-0000C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8" name="Text Box 3">
          <a:extLst>
            <a:ext uri="{FF2B5EF4-FFF2-40B4-BE49-F238E27FC236}">
              <a16:creationId xmlns:a16="http://schemas.microsoft.com/office/drawing/2014/main" id="{00000000-0008-0000-0500-0000C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9" name="Text Box 3">
          <a:extLst>
            <a:ext uri="{FF2B5EF4-FFF2-40B4-BE49-F238E27FC236}">
              <a16:creationId xmlns:a16="http://schemas.microsoft.com/office/drawing/2014/main" id="{00000000-0008-0000-0500-0000C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0" name="Text Box 3">
          <a:extLst>
            <a:ext uri="{FF2B5EF4-FFF2-40B4-BE49-F238E27FC236}">
              <a16:creationId xmlns:a16="http://schemas.microsoft.com/office/drawing/2014/main" id="{00000000-0008-0000-0500-0000D0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1" name="Text Box 3">
          <a:extLst>
            <a:ext uri="{FF2B5EF4-FFF2-40B4-BE49-F238E27FC236}">
              <a16:creationId xmlns:a16="http://schemas.microsoft.com/office/drawing/2014/main" id="{00000000-0008-0000-0500-0000D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2" name="Text Box 3">
          <a:extLst>
            <a:ext uri="{FF2B5EF4-FFF2-40B4-BE49-F238E27FC236}">
              <a16:creationId xmlns:a16="http://schemas.microsoft.com/office/drawing/2014/main" id="{00000000-0008-0000-0500-0000D2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3" name="Text Box 3">
          <a:extLst>
            <a:ext uri="{FF2B5EF4-FFF2-40B4-BE49-F238E27FC236}">
              <a16:creationId xmlns:a16="http://schemas.microsoft.com/office/drawing/2014/main" id="{00000000-0008-0000-0500-0000D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4" name="Text Box 3">
          <a:extLst>
            <a:ext uri="{FF2B5EF4-FFF2-40B4-BE49-F238E27FC236}">
              <a16:creationId xmlns:a16="http://schemas.microsoft.com/office/drawing/2014/main" id="{00000000-0008-0000-0500-0000D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5" name="Text Box 3">
          <a:extLst>
            <a:ext uri="{FF2B5EF4-FFF2-40B4-BE49-F238E27FC236}">
              <a16:creationId xmlns:a16="http://schemas.microsoft.com/office/drawing/2014/main" id="{00000000-0008-0000-0500-0000D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6" name="Text Box 3">
          <a:extLst>
            <a:ext uri="{FF2B5EF4-FFF2-40B4-BE49-F238E27FC236}">
              <a16:creationId xmlns:a16="http://schemas.microsoft.com/office/drawing/2014/main" id="{00000000-0008-0000-0500-0000D6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7" name="Text Box 3">
          <a:extLst>
            <a:ext uri="{FF2B5EF4-FFF2-40B4-BE49-F238E27FC236}">
              <a16:creationId xmlns:a16="http://schemas.microsoft.com/office/drawing/2014/main" id="{00000000-0008-0000-0500-0000D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8" name="Text Box 3">
          <a:extLst>
            <a:ext uri="{FF2B5EF4-FFF2-40B4-BE49-F238E27FC236}">
              <a16:creationId xmlns:a16="http://schemas.microsoft.com/office/drawing/2014/main" id="{00000000-0008-0000-0500-0000D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9" name="Text Box 3">
          <a:extLst>
            <a:ext uri="{FF2B5EF4-FFF2-40B4-BE49-F238E27FC236}">
              <a16:creationId xmlns:a16="http://schemas.microsoft.com/office/drawing/2014/main" id="{00000000-0008-0000-0500-0000D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0" name="Text Box 3">
          <a:extLst>
            <a:ext uri="{FF2B5EF4-FFF2-40B4-BE49-F238E27FC236}">
              <a16:creationId xmlns:a16="http://schemas.microsoft.com/office/drawing/2014/main" id="{00000000-0008-0000-0500-0000DA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1" name="Text Box 3">
          <a:extLst>
            <a:ext uri="{FF2B5EF4-FFF2-40B4-BE49-F238E27FC236}">
              <a16:creationId xmlns:a16="http://schemas.microsoft.com/office/drawing/2014/main" id="{00000000-0008-0000-0500-0000D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2" name="Text Box 3">
          <a:extLst>
            <a:ext uri="{FF2B5EF4-FFF2-40B4-BE49-F238E27FC236}">
              <a16:creationId xmlns:a16="http://schemas.microsoft.com/office/drawing/2014/main" id="{00000000-0008-0000-0500-0000DC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3" name="Text Box 3">
          <a:extLst>
            <a:ext uri="{FF2B5EF4-FFF2-40B4-BE49-F238E27FC236}">
              <a16:creationId xmlns:a16="http://schemas.microsoft.com/office/drawing/2014/main" id="{00000000-0008-0000-0500-0000D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4" name="Text Box 3">
          <a:extLst>
            <a:ext uri="{FF2B5EF4-FFF2-40B4-BE49-F238E27FC236}">
              <a16:creationId xmlns:a16="http://schemas.microsoft.com/office/drawing/2014/main" id="{00000000-0008-0000-0500-0000D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5" name="Text Box 3">
          <a:extLst>
            <a:ext uri="{FF2B5EF4-FFF2-40B4-BE49-F238E27FC236}">
              <a16:creationId xmlns:a16="http://schemas.microsoft.com/office/drawing/2014/main" id="{00000000-0008-0000-0500-0000D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6" name="Text Box 3">
          <a:extLst>
            <a:ext uri="{FF2B5EF4-FFF2-40B4-BE49-F238E27FC236}">
              <a16:creationId xmlns:a16="http://schemas.microsoft.com/office/drawing/2014/main" id="{00000000-0008-0000-0500-0000E0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7" name="Text Box 3">
          <a:extLst>
            <a:ext uri="{FF2B5EF4-FFF2-40B4-BE49-F238E27FC236}">
              <a16:creationId xmlns:a16="http://schemas.microsoft.com/office/drawing/2014/main" id="{00000000-0008-0000-0500-0000E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8" name="Text Box 3">
          <a:extLst>
            <a:ext uri="{FF2B5EF4-FFF2-40B4-BE49-F238E27FC236}">
              <a16:creationId xmlns:a16="http://schemas.microsoft.com/office/drawing/2014/main" id="{00000000-0008-0000-0500-0000E2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9" name="Text Box 3">
          <a:extLst>
            <a:ext uri="{FF2B5EF4-FFF2-40B4-BE49-F238E27FC236}">
              <a16:creationId xmlns:a16="http://schemas.microsoft.com/office/drawing/2014/main" id="{00000000-0008-0000-0500-0000E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0" name="Text Box 3">
          <a:extLst>
            <a:ext uri="{FF2B5EF4-FFF2-40B4-BE49-F238E27FC236}">
              <a16:creationId xmlns:a16="http://schemas.microsoft.com/office/drawing/2014/main" id="{00000000-0008-0000-0500-0000E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1" name="Text Box 3">
          <a:extLst>
            <a:ext uri="{FF2B5EF4-FFF2-40B4-BE49-F238E27FC236}">
              <a16:creationId xmlns:a16="http://schemas.microsoft.com/office/drawing/2014/main" id="{00000000-0008-0000-0500-0000E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2" name="Text Box 3">
          <a:extLst>
            <a:ext uri="{FF2B5EF4-FFF2-40B4-BE49-F238E27FC236}">
              <a16:creationId xmlns:a16="http://schemas.microsoft.com/office/drawing/2014/main" id="{00000000-0008-0000-0500-0000E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3" name="Text Box 3">
          <a:extLst>
            <a:ext uri="{FF2B5EF4-FFF2-40B4-BE49-F238E27FC236}">
              <a16:creationId xmlns:a16="http://schemas.microsoft.com/office/drawing/2014/main" id="{00000000-0008-0000-0500-0000E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44" name="Text Box 3">
          <a:extLst>
            <a:ext uri="{FF2B5EF4-FFF2-40B4-BE49-F238E27FC236}">
              <a16:creationId xmlns:a16="http://schemas.microsoft.com/office/drawing/2014/main" id="{00000000-0008-0000-0500-0000E8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5" name="Text Box 3">
          <a:extLst>
            <a:ext uri="{FF2B5EF4-FFF2-40B4-BE49-F238E27FC236}">
              <a16:creationId xmlns:a16="http://schemas.microsoft.com/office/drawing/2014/main" id="{00000000-0008-0000-0500-0000E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926</xdr:row>
      <xdr:rowOff>0</xdr:rowOff>
    </xdr:from>
    <xdr:ext cx="76200" cy="200025"/>
    <xdr:sp macro="" textlink="">
      <xdr:nvSpPr>
        <xdr:cNvPr id="746" name="Text Box 3">
          <a:extLst>
            <a:ext uri="{FF2B5EF4-FFF2-40B4-BE49-F238E27FC236}">
              <a16:creationId xmlns:a16="http://schemas.microsoft.com/office/drawing/2014/main" id="{00000000-0008-0000-0500-0000EA020000}"/>
            </a:ext>
          </a:extLst>
        </xdr:cNvPr>
        <xdr:cNvSpPr txBox="1">
          <a:spLocks noChangeArrowheads="1"/>
        </xdr:cNvSpPr>
      </xdr:nvSpPr>
      <xdr:spPr bwMode="auto">
        <a:xfrm>
          <a:off x="4257675" y="141370050"/>
          <a:ext cx="76200" cy="200025"/>
        </a:xfrm>
        <a:prstGeom prst="rect">
          <a:avLst/>
        </a:prstGeom>
        <a:noFill/>
        <a:ln w="9525">
          <a:noFill/>
          <a:miter lim="800000"/>
          <a:headEnd/>
          <a:tailEnd/>
        </a:ln>
      </xdr:spPr>
    </xdr:sp>
    <xdr:clientData/>
  </xdr:oneCellAnchor>
  <xdr:oneCellAnchor>
    <xdr:from>
      <xdr:col>0</xdr:col>
      <xdr:colOff>0</xdr:colOff>
      <xdr:row>926</xdr:row>
      <xdr:rowOff>0</xdr:rowOff>
    </xdr:from>
    <xdr:ext cx="28575" cy="104775"/>
    <xdr:sp macro="" textlink="">
      <xdr:nvSpPr>
        <xdr:cNvPr id="747" name="Text Box 4">
          <a:extLst>
            <a:ext uri="{FF2B5EF4-FFF2-40B4-BE49-F238E27FC236}">
              <a16:creationId xmlns:a16="http://schemas.microsoft.com/office/drawing/2014/main" id="{00000000-0008-0000-0500-0000EB020000}"/>
            </a:ext>
          </a:extLst>
        </xdr:cNvPr>
        <xdr:cNvSpPr txBox="1">
          <a:spLocks noChangeArrowheads="1"/>
        </xdr:cNvSpPr>
      </xdr:nvSpPr>
      <xdr:spPr bwMode="auto">
        <a:xfrm>
          <a:off x="0" y="141370050"/>
          <a:ext cx="28575" cy="104775"/>
        </a:xfrm>
        <a:prstGeom prst="rect">
          <a:avLst/>
        </a:prstGeom>
        <a:noFill/>
        <a:ln w="9525">
          <a:noFill/>
          <a:miter lim="800000"/>
          <a:headEnd/>
          <a:tailEnd/>
        </a:ln>
      </xdr:spPr>
    </xdr:sp>
    <xdr:clientData/>
  </xdr:oneCellAnchor>
  <xdr:oneCellAnchor>
    <xdr:from>
      <xdr:col>6</xdr:col>
      <xdr:colOff>590550</xdr:colOff>
      <xdr:row>925</xdr:row>
      <xdr:rowOff>0</xdr:rowOff>
    </xdr:from>
    <xdr:ext cx="76200" cy="196850"/>
    <xdr:sp macro="" textlink="">
      <xdr:nvSpPr>
        <xdr:cNvPr id="748" name="Text Box 3">
          <a:extLst>
            <a:ext uri="{FF2B5EF4-FFF2-40B4-BE49-F238E27FC236}">
              <a16:creationId xmlns:a16="http://schemas.microsoft.com/office/drawing/2014/main" id="{00000000-0008-0000-0500-0000EC020000}"/>
            </a:ext>
          </a:extLst>
        </xdr:cNvPr>
        <xdr:cNvSpPr txBox="1">
          <a:spLocks noChangeArrowheads="1"/>
        </xdr:cNvSpPr>
      </xdr:nvSpPr>
      <xdr:spPr bwMode="auto">
        <a:xfrm>
          <a:off x="4257675" y="141170025"/>
          <a:ext cx="76200" cy="196850"/>
        </a:xfrm>
        <a:prstGeom prst="rect">
          <a:avLst/>
        </a:prstGeom>
        <a:noFill/>
        <a:ln w="9525">
          <a:noFill/>
          <a:miter lim="800000"/>
          <a:headEnd/>
          <a:tailEnd/>
        </a:ln>
      </xdr:spPr>
    </xdr:sp>
    <xdr:clientData/>
  </xdr:oneCellAnchor>
  <xdr:oneCellAnchor>
    <xdr:from>
      <xdr:col>0</xdr:col>
      <xdr:colOff>0</xdr:colOff>
      <xdr:row>925</xdr:row>
      <xdr:rowOff>0</xdr:rowOff>
    </xdr:from>
    <xdr:ext cx="28575" cy="104775"/>
    <xdr:sp macro="" textlink="">
      <xdr:nvSpPr>
        <xdr:cNvPr id="749" name="Text Box 4">
          <a:extLst>
            <a:ext uri="{FF2B5EF4-FFF2-40B4-BE49-F238E27FC236}">
              <a16:creationId xmlns:a16="http://schemas.microsoft.com/office/drawing/2014/main" id="{00000000-0008-0000-0500-0000ED020000}"/>
            </a:ext>
          </a:extLst>
        </xdr:cNvPr>
        <xdr:cNvSpPr txBox="1">
          <a:spLocks noChangeArrowheads="1"/>
        </xdr:cNvSpPr>
      </xdr:nvSpPr>
      <xdr:spPr bwMode="auto">
        <a:xfrm>
          <a:off x="0" y="141170025"/>
          <a:ext cx="28575" cy="104775"/>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6</xdr:col>
      <xdr:colOff>590550</xdr:colOff>
      <xdr:row>229</xdr:row>
      <xdr:rowOff>0</xdr:rowOff>
    </xdr:from>
    <xdr:to>
      <xdr:col>7</xdr:col>
      <xdr:colOff>0</xdr:colOff>
      <xdr:row>230</xdr:row>
      <xdr:rowOff>40005</xdr:rowOff>
    </xdr:to>
    <xdr:sp macro="" textlink="">
      <xdr:nvSpPr>
        <xdr:cNvPr id="2" name="Text Box 3">
          <a:extLst>
            <a:ext uri="{FF2B5EF4-FFF2-40B4-BE49-F238E27FC236}">
              <a16:creationId xmlns:a16="http://schemas.microsoft.com/office/drawing/2014/main" id="{C3235AAB-EFF2-4E98-A0C0-308B38A196C2}"/>
            </a:ext>
          </a:extLst>
        </xdr:cNvPr>
        <xdr:cNvSpPr txBox="1">
          <a:spLocks noChangeArrowheads="1"/>
        </xdr:cNvSpPr>
      </xdr:nvSpPr>
      <xdr:spPr bwMode="auto">
        <a:xfrm>
          <a:off x="4257675" y="37757100"/>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3" name="Text Box 4">
          <a:extLst>
            <a:ext uri="{FF2B5EF4-FFF2-40B4-BE49-F238E27FC236}">
              <a16:creationId xmlns:a16="http://schemas.microsoft.com/office/drawing/2014/main" id="{44ABE799-C9E2-472E-A8DD-FBF8B23E9651}"/>
            </a:ext>
          </a:extLst>
        </xdr:cNvPr>
        <xdr:cNvSpPr txBox="1">
          <a:spLocks noChangeArrowheads="1"/>
        </xdr:cNvSpPr>
      </xdr:nvSpPr>
      <xdr:spPr bwMode="auto">
        <a:xfrm>
          <a:off x="0" y="37757100"/>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0</xdr:colOff>
      <xdr:row>230</xdr:row>
      <xdr:rowOff>40005</xdr:rowOff>
    </xdr:to>
    <xdr:sp macro="" textlink="">
      <xdr:nvSpPr>
        <xdr:cNvPr id="4" name="Text Box 3">
          <a:extLst>
            <a:ext uri="{FF2B5EF4-FFF2-40B4-BE49-F238E27FC236}">
              <a16:creationId xmlns:a16="http://schemas.microsoft.com/office/drawing/2014/main" id="{873EB02F-8D99-4785-AF96-B956BF9DB7C7}"/>
            </a:ext>
          </a:extLst>
        </xdr:cNvPr>
        <xdr:cNvSpPr txBox="1">
          <a:spLocks noChangeArrowheads="1"/>
        </xdr:cNvSpPr>
      </xdr:nvSpPr>
      <xdr:spPr bwMode="auto">
        <a:xfrm>
          <a:off x="4257675" y="37757100"/>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5" name="Text Box 4">
          <a:extLst>
            <a:ext uri="{FF2B5EF4-FFF2-40B4-BE49-F238E27FC236}">
              <a16:creationId xmlns:a16="http://schemas.microsoft.com/office/drawing/2014/main" id="{E9B4C7DA-D472-49FE-B09A-5AA667401E3E}"/>
            </a:ext>
          </a:extLst>
        </xdr:cNvPr>
        <xdr:cNvSpPr txBox="1">
          <a:spLocks noChangeArrowheads="1"/>
        </xdr:cNvSpPr>
      </xdr:nvSpPr>
      <xdr:spPr bwMode="auto">
        <a:xfrm>
          <a:off x="0" y="37757100"/>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0</xdr:colOff>
      <xdr:row>230</xdr:row>
      <xdr:rowOff>40005</xdr:rowOff>
    </xdr:to>
    <xdr:sp macro="" textlink="">
      <xdr:nvSpPr>
        <xdr:cNvPr id="6" name="Text Box 3">
          <a:extLst>
            <a:ext uri="{FF2B5EF4-FFF2-40B4-BE49-F238E27FC236}">
              <a16:creationId xmlns:a16="http://schemas.microsoft.com/office/drawing/2014/main" id="{38795A1F-5F35-40CF-9A1E-C9C06A48EEDA}"/>
            </a:ext>
          </a:extLst>
        </xdr:cNvPr>
        <xdr:cNvSpPr txBox="1">
          <a:spLocks noChangeArrowheads="1"/>
        </xdr:cNvSpPr>
      </xdr:nvSpPr>
      <xdr:spPr bwMode="auto">
        <a:xfrm>
          <a:off x="4257675" y="37757100"/>
          <a:ext cx="76200" cy="200025"/>
        </a:xfrm>
        <a:prstGeom prst="rect">
          <a:avLst/>
        </a:prstGeom>
        <a:noFill/>
        <a:ln w="9525">
          <a:noFill/>
          <a:miter lim="800000"/>
          <a:headEnd/>
          <a:tailEnd/>
        </a:ln>
      </xdr:spPr>
    </xdr:sp>
    <xdr:clientData/>
  </xdr:twoCellAnchor>
  <xdr:twoCellAnchor editAs="oneCell">
    <xdr:from>
      <xdr:col>1</xdr:col>
      <xdr:colOff>247650</xdr:colOff>
      <xdr:row>229</xdr:row>
      <xdr:rowOff>0</xdr:rowOff>
    </xdr:from>
    <xdr:to>
      <xdr:col>1</xdr:col>
      <xdr:colOff>276225</xdr:colOff>
      <xdr:row>229</xdr:row>
      <xdr:rowOff>104775</xdr:rowOff>
    </xdr:to>
    <xdr:sp macro="" textlink="">
      <xdr:nvSpPr>
        <xdr:cNvPr id="7" name="Text Box 4">
          <a:extLst>
            <a:ext uri="{FF2B5EF4-FFF2-40B4-BE49-F238E27FC236}">
              <a16:creationId xmlns:a16="http://schemas.microsoft.com/office/drawing/2014/main" id="{7D2E3545-D92E-4CE9-9507-7837FCF41250}"/>
            </a:ext>
          </a:extLst>
        </xdr:cNvPr>
        <xdr:cNvSpPr txBox="1">
          <a:spLocks noChangeArrowheads="1"/>
        </xdr:cNvSpPr>
      </xdr:nvSpPr>
      <xdr:spPr bwMode="auto">
        <a:xfrm>
          <a:off x="942975" y="37757100"/>
          <a:ext cx="28575" cy="104775"/>
        </a:xfrm>
        <a:prstGeom prst="rect">
          <a:avLst/>
        </a:prstGeom>
        <a:noFill/>
        <a:ln w="9525">
          <a:noFill/>
          <a:miter lim="800000"/>
          <a:headEnd/>
          <a:tailEnd/>
        </a:ln>
      </xdr:spPr>
    </xdr:sp>
    <xdr:clientData/>
  </xdr:twoCellAnchor>
  <xdr:twoCellAnchor editAs="oneCell">
    <xdr:from>
      <xdr:col>6</xdr:col>
      <xdr:colOff>590550</xdr:colOff>
      <xdr:row>177</xdr:row>
      <xdr:rowOff>0</xdr:rowOff>
    </xdr:from>
    <xdr:to>
      <xdr:col>7</xdr:col>
      <xdr:colOff>0</xdr:colOff>
      <xdr:row>178</xdr:row>
      <xdr:rowOff>0</xdr:rowOff>
    </xdr:to>
    <xdr:sp macro="" textlink="">
      <xdr:nvSpPr>
        <xdr:cNvPr id="8" name="Text Box 3">
          <a:extLst>
            <a:ext uri="{FF2B5EF4-FFF2-40B4-BE49-F238E27FC236}">
              <a16:creationId xmlns:a16="http://schemas.microsoft.com/office/drawing/2014/main" id="{4524E2E1-B069-45DE-A0EA-F113B9B6A64F}"/>
            </a:ext>
          </a:extLst>
        </xdr:cNvPr>
        <xdr:cNvSpPr txBox="1">
          <a:spLocks noChangeArrowheads="1"/>
        </xdr:cNvSpPr>
      </xdr:nvSpPr>
      <xdr:spPr bwMode="auto">
        <a:xfrm>
          <a:off x="4257675" y="28222575"/>
          <a:ext cx="76200" cy="190500"/>
        </a:xfrm>
        <a:prstGeom prst="rect">
          <a:avLst/>
        </a:prstGeom>
        <a:noFill/>
        <a:ln w="9525">
          <a:noFill/>
          <a:miter lim="800000"/>
          <a:headEnd/>
          <a:tailEnd/>
        </a:ln>
      </xdr:spPr>
    </xdr:sp>
    <xdr:clientData/>
  </xdr:twoCellAnchor>
  <xdr:twoCellAnchor editAs="oneCell">
    <xdr:from>
      <xdr:col>0</xdr:col>
      <xdr:colOff>0</xdr:colOff>
      <xdr:row>177</xdr:row>
      <xdr:rowOff>0</xdr:rowOff>
    </xdr:from>
    <xdr:to>
      <xdr:col>0</xdr:col>
      <xdr:colOff>28575</xdr:colOff>
      <xdr:row>178</xdr:row>
      <xdr:rowOff>3175</xdr:rowOff>
    </xdr:to>
    <xdr:sp macro="" textlink="">
      <xdr:nvSpPr>
        <xdr:cNvPr id="9" name="Text Box 4">
          <a:extLst>
            <a:ext uri="{FF2B5EF4-FFF2-40B4-BE49-F238E27FC236}">
              <a16:creationId xmlns:a16="http://schemas.microsoft.com/office/drawing/2014/main" id="{05CDBDB0-15CE-48A8-84AE-B2D5BF61D07D}"/>
            </a:ext>
          </a:extLst>
        </xdr:cNvPr>
        <xdr:cNvSpPr txBox="1">
          <a:spLocks noChangeArrowheads="1"/>
        </xdr:cNvSpPr>
      </xdr:nvSpPr>
      <xdr:spPr bwMode="auto">
        <a:xfrm>
          <a:off x="0" y="28222575"/>
          <a:ext cx="28575" cy="98425"/>
        </a:xfrm>
        <a:prstGeom prst="rect">
          <a:avLst/>
        </a:prstGeom>
        <a:noFill/>
        <a:ln w="9525">
          <a:noFill/>
          <a:miter lim="800000"/>
          <a:headEnd/>
          <a:tailEnd/>
        </a:ln>
      </xdr:spPr>
    </xdr:sp>
    <xdr:clientData/>
  </xdr:twoCellAnchor>
  <xdr:twoCellAnchor editAs="oneCell">
    <xdr:from>
      <xdr:col>6</xdr:col>
      <xdr:colOff>590550</xdr:colOff>
      <xdr:row>176</xdr:row>
      <xdr:rowOff>0</xdr:rowOff>
    </xdr:from>
    <xdr:to>
      <xdr:col>7</xdr:col>
      <xdr:colOff>0</xdr:colOff>
      <xdr:row>177</xdr:row>
      <xdr:rowOff>40005</xdr:rowOff>
    </xdr:to>
    <xdr:sp macro="" textlink="">
      <xdr:nvSpPr>
        <xdr:cNvPr id="10" name="Text Box 3">
          <a:extLst>
            <a:ext uri="{FF2B5EF4-FFF2-40B4-BE49-F238E27FC236}">
              <a16:creationId xmlns:a16="http://schemas.microsoft.com/office/drawing/2014/main" id="{525507CD-8CEE-4E6D-A620-39191BB1F7B6}"/>
            </a:ext>
          </a:extLst>
        </xdr:cNvPr>
        <xdr:cNvSpPr txBox="1">
          <a:spLocks noChangeArrowheads="1"/>
        </xdr:cNvSpPr>
      </xdr:nvSpPr>
      <xdr:spPr bwMode="auto">
        <a:xfrm>
          <a:off x="4257675" y="28022550"/>
          <a:ext cx="76200" cy="200025"/>
        </a:xfrm>
        <a:prstGeom prst="rect">
          <a:avLst/>
        </a:prstGeom>
        <a:noFill/>
        <a:ln w="9525">
          <a:noFill/>
          <a:miter lim="800000"/>
          <a:headEnd/>
          <a:tailEnd/>
        </a:ln>
      </xdr:spPr>
    </xdr:sp>
    <xdr:clientData/>
  </xdr:twoCellAnchor>
  <xdr:twoCellAnchor editAs="oneCell">
    <xdr:from>
      <xdr:col>0</xdr:col>
      <xdr:colOff>0</xdr:colOff>
      <xdr:row>176</xdr:row>
      <xdr:rowOff>0</xdr:rowOff>
    </xdr:from>
    <xdr:to>
      <xdr:col>0</xdr:col>
      <xdr:colOff>28575</xdr:colOff>
      <xdr:row>176</xdr:row>
      <xdr:rowOff>104775</xdr:rowOff>
    </xdr:to>
    <xdr:sp macro="" textlink="">
      <xdr:nvSpPr>
        <xdr:cNvPr id="11" name="Text Box 4">
          <a:extLst>
            <a:ext uri="{FF2B5EF4-FFF2-40B4-BE49-F238E27FC236}">
              <a16:creationId xmlns:a16="http://schemas.microsoft.com/office/drawing/2014/main" id="{37CCC907-01D9-4282-8808-DD7219846EAD}"/>
            </a:ext>
          </a:extLst>
        </xdr:cNvPr>
        <xdr:cNvSpPr txBox="1">
          <a:spLocks noChangeArrowheads="1"/>
        </xdr:cNvSpPr>
      </xdr:nvSpPr>
      <xdr:spPr bwMode="auto">
        <a:xfrm>
          <a:off x="0" y="28022550"/>
          <a:ext cx="28575" cy="104775"/>
        </a:xfrm>
        <a:prstGeom prst="rect">
          <a:avLst/>
        </a:prstGeom>
        <a:noFill/>
        <a:ln w="9525">
          <a:noFill/>
          <a:miter lim="800000"/>
          <a:headEnd/>
          <a:tailEnd/>
        </a:ln>
      </xdr:spPr>
    </xdr:sp>
    <xdr:clientData/>
  </xdr:twoCellAnchor>
  <xdr:oneCellAnchor>
    <xdr:from>
      <xdr:col>6</xdr:col>
      <xdr:colOff>590550</xdr:colOff>
      <xdr:row>229</xdr:row>
      <xdr:rowOff>0</xdr:rowOff>
    </xdr:from>
    <xdr:ext cx="76200" cy="200025"/>
    <xdr:sp macro="" textlink="">
      <xdr:nvSpPr>
        <xdr:cNvPr id="12" name="Text Box 3">
          <a:extLst>
            <a:ext uri="{FF2B5EF4-FFF2-40B4-BE49-F238E27FC236}">
              <a16:creationId xmlns:a16="http://schemas.microsoft.com/office/drawing/2014/main" id="{D2715139-D615-4C44-9B7C-B7432043C8B9}"/>
            </a:ext>
          </a:extLst>
        </xdr:cNvPr>
        <xdr:cNvSpPr txBox="1">
          <a:spLocks noChangeArrowheads="1"/>
        </xdr:cNvSpPr>
      </xdr:nvSpPr>
      <xdr:spPr bwMode="auto">
        <a:xfrm>
          <a:off x="4257675" y="377571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3" name="Text Box 3">
          <a:extLst>
            <a:ext uri="{FF2B5EF4-FFF2-40B4-BE49-F238E27FC236}">
              <a16:creationId xmlns:a16="http://schemas.microsoft.com/office/drawing/2014/main" id="{4CBE3466-38A4-48EF-93FA-70B5E1FBFE41}"/>
            </a:ext>
          </a:extLst>
        </xdr:cNvPr>
        <xdr:cNvSpPr txBox="1">
          <a:spLocks noChangeArrowheads="1"/>
        </xdr:cNvSpPr>
      </xdr:nvSpPr>
      <xdr:spPr bwMode="auto">
        <a:xfrm>
          <a:off x="4257675" y="37757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4" name="Text Box 4">
          <a:extLst>
            <a:ext uri="{FF2B5EF4-FFF2-40B4-BE49-F238E27FC236}">
              <a16:creationId xmlns:a16="http://schemas.microsoft.com/office/drawing/2014/main" id="{07AD7F48-51D4-4BCA-A46C-DF27C80948D0}"/>
            </a:ext>
          </a:extLst>
        </xdr:cNvPr>
        <xdr:cNvSpPr txBox="1">
          <a:spLocks noChangeArrowheads="1"/>
        </xdr:cNvSpPr>
      </xdr:nvSpPr>
      <xdr:spPr bwMode="auto">
        <a:xfrm>
          <a:off x="0" y="37757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5" name="Text Box 3">
          <a:extLst>
            <a:ext uri="{FF2B5EF4-FFF2-40B4-BE49-F238E27FC236}">
              <a16:creationId xmlns:a16="http://schemas.microsoft.com/office/drawing/2014/main" id="{EABFD4F3-F198-40F8-93EC-37221B73D8D8}"/>
            </a:ext>
          </a:extLst>
        </xdr:cNvPr>
        <xdr:cNvSpPr txBox="1">
          <a:spLocks noChangeArrowheads="1"/>
        </xdr:cNvSpPr>
      </xdr:nvSpPr>
      <xdr:spPr bwMode="auto">
        <a:xfrm>
          <a:off x="4257675" y="377571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6" name="Text Box 3">
          <a:extLst>
            <a:ext uri="{FF2B5EF4-FFF2-40B4-BE49-F238E27FC236}">
              <a16:creationId xmlns:a16="http://schemas.microsoft.com/office/drawing/2014/main" id="{258882E0-AA22-4AAF-A9EB-D20875AF6CE5}"/>
            </a:ext>
          </a:extLst>
        </xdr:cNvPr>
        <xdr:cNvSpPr txBox="1">
          <a:spLocks noChangeArrowheads="1"/>
        </xdr:cNvSpPr>
      </xdr:nvSpPr>
      <xdr:spPr bwMode="auto">
        <a:xfrm>
          <a:off x="4257675" y="377571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7" name="Text Box 3">
          <a:extLst>
            <a:ext uri="{FF2B5EF4-FFF2-40B4-BE49-F238E27FC236}">
              <a16:creationId xmlns:a16="http://schemas.microsoft.com/office/drawing/2014/main" id="{786ADC7A-F961-46EF-B753-7416BBF1DA97}"/>
            </a:ext>
          </a:extLst>
        </xdr:cNvPr>
        <xdr:cNvSpPr txBox="1">
          <a:spLocks noChangeArrowheads="1"/>
        </xdr:cNvSpPr>
      </xdr:nvSpPr>
      <xdr:spPr bwMode="auto">
        <a:xfrm>
          <a:off x="4257675" y="37757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8" name="Text Box 4">
          <a:extLst>
            <a:ext uri="{FF2B5EF4-FFF2-40B4-BE49-F238E27FC236}">
              <a16:creationId xmlns:a16="http://schemas.microsoft.com/office/drawing/2014/main" id="{7F973280-635D-473F-9691-97D46ED8F02F}"/>
            </a:ext>
          </a:extLst>
        </xdr:cNvPr>
        <xdr:cNvSpPr txBox="1">
          <a:spLocks noChangeArrowheads="1"/>
        </xdr:cNvSpPr>
      </xdr:nvSpPr>
      <xdr:spPr bwMode="auto">
        <a:xfrm>
          <a:off x="0" y="37757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19" name="Text Box 3">
          <a:extLst>
            <a:ext uri="{FF2B5EF4-FFF2-40B4-BE49-F238E27FC236}">
              <a16:creationId xmlns:a16="http://schemas.microsoft.com/office/drawing/2014/main" id="{3DE6F0F7-370B-4F5A-BA4A-E7D2BB4BCCEA}"/>
            </a:ext>
          </a:extLst>
        </xdr:cNvPr>
        <xdr:cNvSpPr txBox="1">
          <a:spLocks noChangeArrowheads="1"/>
        </xdr:cNvSpPr>
      </xdr:nvSpPr>
      <xdr:spPr bwMode="auto">
        <a:xfrm>
          <a:off x="4257675" y="377571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0" name="Text Box 4">
          <a:extLst>
            <a:ext uri="{FF2B5EF4-FFF2-40B4-BE49-F238E27FC236}">
              <a16:creationId xmlns:a16="http://schemas.microsoft.com/office/drawing/2014/main" id="{81E7EECA-8FE9-495F-9FE4-255A861E93C9}"/>
            </a:ext>
          </a:extLst>
        </xdr:cNvPr>
        <xdr:cNvSpPr txBox="1">
          <a:spLocks noChangeArrowheads="1"/>
        </xdr:cNvSpPr>
      </xdr:nvSpPr>
      <xdr:spPr bwMode="auto">
        <a:xfrm>
          <a:off x="0" y="37757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1" name="Text Box 3">
          <a:extLst>
            <a:ext uri="{FF2B5EF4-FFF2-40B4-BE49-F238E27FC236}">
              <a16:creationId xmlns:a16="http://schemas.microsoft.com/office/drawing/2014/main" id="{2EF0105A-C9B6-49AD-8332-0C78ED7A76D9}"/>
            </a:ext>
          </a:extLst>
        </xdr:cNvPr>
        <xdr:cNvSpPr txBox="1">
          <a:spLocks noChangeArrowheads="1"/>
        </xdr:cNvSpPr>
      </xdr:nvSpPr>
      <xdr:spPr bwMode="auto">
        <a:xfrm>
          <a:off x="4257675" y="377571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2" name="Text Box 3">
          <a:extLst>
            <a:ext uri="{FF2B5EF4-FFF2-40B4-BE49-F238E27FC236}">
              <a16:creationId xmlns:a16="http://schemas.microsoft.com/office/drawing/2014/main" id="{D85A272F-C223-4DDB-AEF6-B18168103F12}"/>
            </a:ext>
          </a:extLst>
        </xdr:cNvPr>
        <xdr:cNvSpPr txBox="1">
          <a:spLocks noChangeArrowheads="1"/>
        </xdr:cNvSpPr>
      </xdr:nvSpPr>
      <xdr:spPr bwMode="auto">
        <a:xfrm>
          <a:off x="4257675" y="37757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3" name="Text Box 4">
          <a:extLst>
            <a:ext uri="{FF2B5EF4-FFF2-40B4-BE49-F238E27FC236}">
              <a16:creationId xmlns:a16="http://schemas.microsoft.com/office/drawing/2014/main" id="{F01A257F-81C7-4114-9814-D429874213AD}"/>
            </a:ext>
          </a:extLst>
        </xdr:cNvPr>
        <xdr:cNvSpPr txBox="1">
          <a:spLocks noChangeArrowheads="1"/>
        </xdr:cNvSpPr>
      </xdr:nvSpPr>
      <xdr:spPr bwMode="auto">
        <a:xfrm>
          <a:off x="0" y="37757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4" name="Text Box 3">
          <a:extLst>
            <a:ext uri="{FF2B5EF4-FFF2-40B4-BE49-F238E27FC236}">
              <a16:creationId xmlns:a16="http://schemas.microsoft.com/office/drawing/2014/main" id="{CFFF7A85-6239-4E9F-AB37-08F7C44BC057}"/>
            </a:ext>
          </a:extLst>
        </xdr:cNvPr>
        <xdr:cNvSpPr txBox="1">
          <a:spLocks noChangeArrowheads="1"/>
        </xdr:cNvSpPr>
      </xdr:nvSpPr>
      <xdr:spPr bwMode="auto">
        <a:xfrm>
          <a:off x="4257675" y="377571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5" name="Text Box 3">
          <a:extLst>
            <a:ext uri="{FF2B5EF4-FFF2-40B4-BE49-F238E27FC236}">
              <a16:creationId xmlns:a16="http://schemas.microsoft.com/office/drawing/2014/main" id="{1EC60AFE-35BA-4D40-85E2-C7A3C6D4FB68}"/>
            </a:ext>
          </a:extLst>
        </xdr:cNvPr>
        <xdr:cNvSpPr txBox="1">
          <a:spLocks noChangeArrowheads="1"/>
        </xdr:cNvSpPr>
      </xdr:nvSpPr>
      <xdr:spPr bwMode="auto">
        <a:xfrm>
          <a:off x="4257675" y="377571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6" name="Text Box 3">
          <a:extLst>
            <a:ext uri="{FF2B5EF4-FFF2-40B4-BE49-F238E27FC236}">
              <a16:creationId xmlns:a16="http://schemas.microsoft.com/office/drawing/2014/main" id="{D9553FD6-C882-4EC6-ACB5-253CF3CF1D7A}"/>
            </a:ext>
          </a:extLst>
        </xdr:cNvPr>
        <xdr:cNvSpPr txBox="1">
          <a:spLocks noChangeArrowheads="1"/>
        </xdr:cNvSpPr>
      </xdr:nvSpPr>
      <xdr:spPr bwMode="auto">
        <a:xfrm>
          <a:off x="4257675" y="37757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7" name="Text Box 4">
          <a:extLst>
            <a:ext uri="{FF2B5EF4-FFF2-40B4-BE49-F238E27FC236}">
              <a16:creationId xmlns:a16="http://schemas.microsoft.com/office/drawing/2014/main" id="{759E19BB-43FD-40AF-984C-CC22619E977A}"/>
            </a:ext>
          </a:extLst>
        </xdr:cNvPr>
        <xdr:cNvSpPr txBox="1">
          <a:spLocks noChangeArrowheads="1"/>
        </xdr:cNvSpPr>
      </xdr:nvSpPr>
      <xdr:spPr bwMode="auto">
        <a:xfrm>
          <a:off x="0" y="37757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28" name="Text Box 3">
          <a:extLst>
            <a:ext uri="{FF2B5EF4-FFF2-40B4-BE49-F238E27FC236}">
              <a16:creationId xmlns:a16="http://schemas.microsoft.com/office/drawing/2014/main" id="{18C6500E-23C4-4EAB-8566-CD96508419B7}"/>
            </a:ext>
          </a:extLst>
        </xdr:cNvPr>
        <xdr:cNvSpPr txBox="1">
          <a:spLocks noChangeArrowheads="1"/>
        </xdr:cNvSpPr>
      </xdr:nvSpPr>
      <xdr:spPr bwMode="auto">
        <a:xfrm>
          <a:off x="4257675" y="377571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9" name="Text Box 4">
          <a:extLst>
            <a:ext uri="{FF2B5EF4-FFF2-40B4-BE49-F238E27FC236}">
              <a16:creationId xmlns:a16="http://schemas.microsoft.com/office/drawing/2014/main" id="{0C2E38CC-6D49-444A-94CE-9FDCA5221838}"/>
            </a:ext>
          </a:extLst>
        </xdr:cNvPr>
        <xdr:cNvSpPr txBox="1">
          <a:spLocks noChangeArrowheads="1"/>
        </xdr:cNvSpPr>
      </xdr:nvSpPr>
      <xdr:spPr bwMode="auto">
        <a:xfrm>
          <a:off x="0" y="37757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0" name="Text Box 3">
          <a:extLst>
            <a:ext uri="{FF2B5EF4-FFF2-40B4-BE49-F238E27FC236}">
              <a16:creationId xmlns:a16="http://schemas.microsoft.com/office/drawing/2014/main" id="{3C9A6FD0-161F-4C30-BEC3-5FFE130B5B1A}"/>
            </a:ext>
          </a:extLst>
        </xdr:cNvPr>
        <xdr:cNvSpPr txBox="1">
          <a:spLocks noChangeArrowheads="1"/>
        </xdr:cNvSpPr>
      </xdr:nvSpPr>
      <xdr:spPr bwMode="auto">
        <a:xfrm>
          <a:off x="4257675" y="377571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1" name="Text Box 3">
          <a:extLst>
            <a:ext uri="{FF2B5EF4-FFF2-40B4-BE49-F238E27FC236}">
              <a16:creationId xmlns:a16="http://schemas.microsoft.com/office/drawing/2014/main" id="{18E833C9-4F37-4E63-ABA1-F9260A035A21}"/>
            </a:ext>
          </a:extLst>
        </xdr:cNvPr>
        <xdr:cNvSpPr txBox="1">
          <a:spLocks noChangeArrowheads="1"/>
        </xdr:cNvSpPr>
      </xdr:nvSpPr>
      <xdr:spPr bwMode="auto">
        <a:xfrm>
          <a:off x="4257675" y="37757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32" name="Text Box 4">
          <a:extLst>
            <a:ext uri="{FF2B5EF4-FFF2-40B4-BE49-F238E27FC236}">
              <a16:creationId xmlns:a16="http://schemas.microsoft.com/office/drawing/2014/main" id="{62FA9F32-677B-4F61-995E-D6213C8E4833}"/>
            </a:ext>
          </a:extLst>
        </xdr:cNvPr>
        <xdr:cNvSpPr txBox="1">
          <a:spLocks noChangeArrowheads="1"/>
        </xdr:cNvSpPr>
      </xdr:nvSpPr>
      <xdr:spPr bwMode="auto">
        <a:xfrm>
          <a:off x="0" y="37757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3" name="Text Box 3">
          <a:extLst>
            <a:ext uri="{FF2B5EF4-FFF2-40B4-BE49-F238E27FC236}">
              <a16:creationId xmlns:a16="http://schemas.microsoft.com/office/drawing/2014/main" id="{60D98CB0-591A-476F-A61B-8E32C584D004}"/>
            </a:ext>
          </a:extLst>
        </xdr:cNvPr>
        <xdr:cNvSpPr txBox="1">
          <a:spLocks noChangeArrowheads="1"/>
        </xdr:cNvSpPr>
      </xdr:nvSpPr>
      <xdr:spPr bwMode="auto">
        <a:xfrm>
          <a:off x="4257675" y="377571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4" name="Text Box 3">
          <a:extLst>
            <a:ext uri="{FF2B5EF4-FFF2-40B4-BE49-F238E27FC236}">
              <a16:creationId xmlns:a16="http://schemas.microsoft.com/office/drawing/2014/main" id="{54B3265E-81AC-4CE4-9F58-227DB44A04C9}"/>
            </a:ext>
          </a:extLst>
        </xdr:cNvPr>
        <xdr:cNvSpPr txBox="1">
          <a:spLocks noChangeArrowheads="1"/>
        </xdr:cNvSpPr>
      </xdr:nvSpPr>
      <xdr:spPr bwMode="auto">
        <a:xfrm>
          <a:off x="4257675" y="377571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5" name="Text Box 3">
          <a:extLst>
            <a:ext uri="{FF2B5EF4-FFF2-40B4-BE49-F238E27FC236}">
              <a16:creationId xmlns:a16="http://schemas.microsoft.com/office/drawing/2014/main" id="{31E76EEC-E067-47B7-9E3C-FFE062D770EA}"/>
            </a:ext>
          </a:extLst>
        </xdr:cNvPr>
        <xdr:cNvSpPr txBox="1">
          <a:spLocks noChangeArrowheads="1"/>
        </xdr:cNvSpPr>
      </xdr:nvSpPr>
      <xdr:spPr bwMode="auto">
        <a:xfrm>
          <a:off x="4257675" y="37757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36" name="Text Box 4">
          <a:extLst>
            <a:ext uri="{FF2B5EF4-FFF2-40B4-BE49-F238E27FC236}">
              <a16:creationId xmlns:a16="http://schemas.microsoft.com/office/drawing/2014/main" id="{1B72666F-036F-4D65-8279-FDA55DC0A578}"/>
            </a:ext>
          </a:extLst>
        </xdr:cNvPr>
        <xdr:cNvSpPr txBox="1">
          <a:spLocks noChangeArrowheads="1"/>
        </xdr:cNvSpPr>
      </xdr:nvSpPr>
      <xdr:spPr bwMode="auto">
        <a:xfrm>
          <a:off x="0" y="37757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37" name="Text Box 3">
          <a:extLst>
            <a:ext uri="{FF2B5EF4-FFF2-40B4-BE49-F238E27FC236}">
              <a16:creationId xmlns:a16="http://schemas.microsoft.com/office/drawing/2014/main" id="{703E57D1-4581-4319-B21E-49BCC1018B2D}"/>
            </a:ext>
          </a:extLst>
        </xdr:cNvPr>
        <xdr:cNvSpPr txBox="1">
          <a:spLocks noChangeArrowheads="1"/>
        </xdr:cNvSpPr>
      </xdr:nvSpPr>
      <xdr:spPr bwMode="auto">
        <a:xfrm>
          <a:off x="4257675" y="377571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38" name="Text Box 4">
          <a:extLst>
            <a:ext uri="{FF2B5EF4-FFF2-40B4-BE49-F238E27FC236}">
              <a16:creationId xmlns:a16="http://schemas.microsoft.com/office/drawing/2014/main" id="{031C35AA-E913-4D9E-B37D-39B1559F0DCF}"/>
            </a:ext>
          </a:extLst>
        </xdr:cNvPr>
        <xdr:cNvSpPr txBox="1">
          <a:spLocks noChangeArrowheads="1"/>
        </xdr:cNvSpPr>
      </xdr:nvSpPr>
      <xdr:spPr bwMode="auto">
        <a:xfrm>
          <a:off x="0" y="37757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9" name="Text Box 3">
          <a:extLst>
            <a:ext uri="{FF2B5EF4-FFF2-40B4-BE49-F238E27FC236}">
              <a16:creationId xmlns:a16="http://schemas.microsoft.com/office/drawing/2014/main" id="{CE9EC545-C798-4C75-B914-5A23EA561C7B}"/>
            </a:ext>
          </a:extLst>
        </xdr:cNvPr>
        <xdr:cNvSpPr txBox="1">
          <a:spLocks noChangeArrowheads="1"/>
        </xdr:cNvSpPr>
      </xdr:nvSpPr>
      <xdr:spPr bwMode="auto">
        <a:xfrm>
          <a:off x="4257675" y="377571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0" name="Text Box 3">
          <a:extLst>
            <a:ext uri="{FF2B5EF4-FFF2-40B4-BE49-F238E27FC236}">
              <a16:creationId xmlns:a16="http://schemas.microsoft.com/office/drawing/2014/main" id="{B9B2522D-53F7-4D01-AB5D-DF48A6B7449E}"/>
            </a:ext>
          </a:extLst>
        </xdr:cNvPr>
        <xdr:cNvSpPr txBox="1">
          <a:spLocks noChangeArrowheads="1"/>
        </xdr:cNvSpPr>
      </xdr:nvSpPr>
      <xdr:spPr bwMode="auto">
        <a:xfrm>
          <a:off x="4257675" y="37757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1" name="Text Box 4">
          <a:extLst>
            <a:ext uri="{FF2B5EF4-FFF2-40B4-BE49-F238E27FC236}">
              <a16:creationId xmlns:a16="http://schemas.microsoft.com/office/drawing/2014/main" id="{F7C75B68-E016-40CA-812A-835C4B5EDF8B}"/>
            </a:ext>
          </a:extLst>
        </xdr:cNvPr>
        <xdr:cNvSpPr txBox="1">
          <a:spLocks noChangeArrowheads="1"/>
        </xdr:cNvSpPr>
      </xdr:nvSpPr>
      <xdr:spPr bwMode="auto">
        <a:xfrm>
          <a:off x="0" y="37757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2" name="Text Box 3">
          <a:extLst>
            <a:ext uri="{FF2B5EF4-FFF2-40B4-BE49-F238E27FC236}">
              <a16:creationId xmlns:a16="http://schemas.microsoft.com/office/drawing/2014/main" id="{04C654FE-E80E-480A-BF26-080E3462189B}"/>
            </a:ext>
          </a:extLst>
        </xdr:cNvPr>
        <xdr:cNvSpPr txBox="1">
          <a:spLocks noChangeArrowheads="1"/>
        </xdr:cNvSpPr>
      </xdr:nvSpPr>
      <xdr:spPr bwMode="auto">
        <a:xfrm>
          <a:off x="4257675" y="377571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3" name="Text Box 3">
          <a:extLst>
            <a:ext uri="{FF2B5EF4-FFF2-40B4-BE49-F238E27FC236}">
              <a16:creationId xmlns:a16="http://schemas.microsoft.com/office/drawing/2014/main" id="{E795DBCA-FE89-44A2-A943-6DFCD5774653}"/>
            </a:ext>
          </a:extLst>
        </xdr:cNvPr>
        <xdr:cNvSpPr txBox="1">
          <a:spLocks noChangeArrowheads="1"/>
        </xdr:cNvSpPr>
      </xdr:nvSpPr>
      <xdr:spPr bwMode="auto">
        <a:xfrm>
          <a:off x="4257675" y="377571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4" name="Text Box 3">
          <a:extLst>
            <a:ext uri="{FF2B5EF4-FFF2-40B4-BE49-F238E27FC236}">
              <a16:creationId xmlns:a16="http://schemas.microsoft.com/office/drawing/2014/main" id="{15A4BFCE-DE41-48AF-B88C-AC56DE85DEF8}"/>
            </a:ext>
          </a:extLst>
        </xdr:cNvPr>
        <xdr:cNvSpPr txBox="1">
          <a:spLocks noChangeArrowheads="1"/>
        </xdr:cNvSpPr>
      </xdr:nvSpPr>
      <xdr:spPr bwMode="auto">
        <a:xfrm>
          <a:off x="4257675" y="37757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5" name="Text Box 4">
          <a:extLst>
            <a:ext uri="{FF2B5EF4-FFF2-40B4-BE49-F238E27FC236}">
              <a16:creationId xmlns:a16="http://schemas.microsoft.com/office/drawing/2014/main" id="{F087C128-B9CA-4D42-98EB-44DC72587023}"/>
            </a:ext>
          </a:extLst>
        </xdr:cNvPr>
        <xdr:cNvSpPr txBox="1">
          <a:spLocks noChangeArrowheads="1"/>
        </xdr:cNvSpPr>
      </xdr:nvSpPr>
      <xdr:spPr bwMode="auto">
        <a:xfrm>
          <a:off x="0" y="37757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46" name="Text Box 3">
          <a:extLst>
            <a:ext uri="{FF2B5EF4-FFF2-40B4-BE49-F238E27FC236}">
              <a16:creationId xmlns:a16="http://schemas.microsoft.com/office/drawing/2014/main" id="{6683AFF8-7166-4D3F-8863-D3A911EF2726}"/>
            </a:ext>
          </a:extLst>
        </xdr:cNvPr>
        <xdr:cNvSpPr txBox="1">
          <a:spLocks noChangeArrowheads="1"/>
        </xdr:cNvSpPr>
      </xdr:nvSpPr>
      <xdr:spPr bwMode="auto">
        <a:xfrm>
          <a:off x="4257675" y="377571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7" name="Text Box 4">
          <a:extLst>
            <a:ext uri="{FF2B5EF4-FFF2-40B4-BE49-F238E27FC236}">
              <a16:creationId xmlns:a16="http://schemas.microsoft.com/office/drawing/2014/main" id="{744F1F03-794C-4FAB-AC5F-633FA18E7B1D}"/>
            </a:ext>
          </a:extLst>
        </xdr:cNvPr>
        <xdr:cNvSpPr txBox="1">
          <a:spLocks noChangeArrowheads="1"/>
        </xdr:cNvSpPr>
      </xdr:nvSpPr>
      <xdr:spPr bwMode="auto">
        <a:xfrm>
          <a:off x="0" y="37757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8" name="Text Box 3">
          <a:extLst>
            <a:ext uri="{FF2B5EF4-FFF2-40B4-BE49-F238E27FC236}">
              <a16:creationId xmlns:a16="http://schemas.microsoft.com/office/drawing/2014/main" id="{2DF12CBE-894E-4412-A5A1-67E9AFA72CF5}"/>
            </a:ext>
          </a:extLst>
        </xdr:cNvPr>
        <xdr:cNvSpPr txBox="1">
          <a:spLocks noChangeArrowheads="1"/>
        </xdr:cNvSpPr>
      </xdr:nvSpPr>
      <xdr:spPr bwMode="auto">
        <a:xfrm>
          <a:off x="4257675" y="377571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9" name="Text Box 3">
          <a:extLst>
            <a:ext uri="{FF2B5EF4-FFF2-40B4-BE49-F238E27FC236}">
              <a16:creationId xmlns:a16="http://schemas.microsoft.com/office/drawing/2014/main" id="{935BB4BA-BC88-4B47-BD42-115431EBBC80}"/>
            </a:ext>
          </a:extLst>
        </xdr:cNvPr>
        <xdr:cNvSpPr txBox="1">
          <a:spLocks noChangeArrowheads="1"/>
        </xdr:cNvSpPr>
      </xdr:nvSpPr>
      <xdr:spPr bwMode="auto">
        <a:xfrm>
          <a:off x="4257675" y="37757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50" name="Text Box 4">
          <a:extLst>
            <a:ext uri="{FF2B5EF4-FFF2-40B4-BE49-F238E27FC236}">
              <a16:creationId xmlns:a16="http://schemas.microsoft.com/office/drawing/2014/main" id="{E83DDF00-8BC9-4C40-902E-5EB4782CFA6B}"/>
            </a:ext>
          </a:extLst>
        </xdr:cNvPr>
        <xdr:cNvSpPr txBox="1">
          <a:spLocks noChangeArrowheads="1"/>
        </xdr:cNvSpPr>
      </xdr:nvSpPr>
      <xdr:spPr bwMode="auto">
        <a:xfrm>
          <a:off x="0" y="37757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51" name="Text Box 3">
          <a:extLst>
            <a:ext uri="{FF2B5EF4-FFF2-40B4-BE49-F238E27FC236}">
              <a16:creationId xmlns:a16="http://schemas.microsoft.com/office/drawing/2014/main" id="{F70B19B2-176B-4720-A806-4E560B8A0FD3}"/>
            </a:ext>
          </a:extLst>
        </xdr:cNvPr>
        <xdr:cNvSpPr txBox="1">
          <a:spLocks noChangeArrowheads="1"/>
        </xdr:cNvSpPr>
      </xdr:nvSpPr>
      <xdr:spPr bwMode="auto">
        <a:xfrm>
          <a:off x="4257675" y="377571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52" name="Text Box 3">
          <a:extLst>
            <a:ext uri="{FF2B5EF4-FFF2-40B4-BE49-F238E27FC236}">
              <a16:creationId xmlns:a16="http://schemas.microsoft.com/office/drawing/2014/main" id="{68D2A1AB-5D47-4C18-A1FD-4263CDDB1A1D}"/>
            </a:ext>
          </a:extLst>
        </xdr:cNvPr>
        <xdr:cNvSpPr txBox="1">
          <a:spLocks noChangeArrowheads="1"/>
        </xdr:cNvSpPr>
      </xdr:nvSpPr>
      <xdr:spPr bwMode="auto">
        <a:xfrm>
          <a:off x="4257675" y="377571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53" name="Text Box 3">
          <a:extLst>
            <a:ext uri="{FF2B5EF4-FFF2-40B4-BE49-F238E27FC236}">
              <a16:creationId xmlns:a16="http://schemas.microsoft.com/office/drawing/2014/main" id="{468E9F67-E4D3-4BB0-9AE0-D0FC0B5C445E}"/>
            </a:ext>
          </a:extLst>
        </xdr:cNvPr>
        <xdr:cNvSpPr txBox="1">
          <a:spLocks noChangeArrowheads="1"/>
        </xdr:cNvSpPr>
      </xdr:nvSpPr>
      <xdr:spPr bwMode="auto">
        <a:xfrm>
          <a:off x="4257675" y="37757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54" name="Text Box 4">
          <a:extLst>
            <a:ext uri="{FF2B5EF4-FFF2-40B4-BE49-F238E27FC236}">
              <a16:creationId xmlns:a16="http://schemas.microsoft.com/office/drawing/2014/main" id="{27CE78DE-41E7-4972-8ED9-F20C1F0CEC7C}"/>
            </a:ext>
          </a:extLst>
        </xdr:cNvPr>
        <xdr:cNvSpPr txBox="1">
          <a:spLocks noChangeArrowheads="1"/>
        </xdr:cNvSpPr>
      </xdr:nvSpPr>
      <xdr:spPr bwMode="auto">
        <a:xfrm>
          <a:off x="0" y="37757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55" name="Text Box 3">
          <a:extLst>
            <a:ext uri="{FF2B5EF4-FFF2-40B4-BE49-F238E27FC236}">
              <a16:creationId xmlns:a16="http://schemas.microsoft.com/office/drawing/2014/main" id="{F1DDC318-17E5-4418-BC49-418BB7392D60}"/>
            </a:ext>
          </a:extLst>
        </xdr:cNvPr>
        <xdr:cNvSpPr txBox="1">
          <a:spLocks noChangeArrowheads="1"/>
        </xdr:cNvSpPr>
      </xdr:nvSpPr>
      <xdr:spPr bwMode="auto">
        <a:xfrm>
          <a:off x="4257675" y="377571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56" name="Text Box 4">
          <a:extLst>
            <a:ext uri="{FF2B5EF4-FFF2-40B4-BE49-F238E27FC236}">
              <a16:creationId xmlns:a16="http://schemas.microsoft.com/office/drawing/2014/main" id="{D2DCCA12-44BD-4B13-A309-6CB9CBBFBCF8}"/>
            </a:ext>
          </a:extLst>
        </xdr:cNvPr>
        <xdr:cNvSpPr txBox="1">
          <a:spLocks noChangeArrowheads="1"/>
        </xdr:cNvSpPr>
      </xdr:nvSpPr>
      <xdr:spPr bwMode="auto">
        <a:xfrm>
          <a:off x="0" y="37757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57" name="Text Box 3">
          <a:extLst>
            <a:ext uri="{FF2B5EF4-FFF2-40B4-BE49-F238E27FC236}">
              <a16:creationId xmlns:a16="http://schemas.microsoft.com/office/drawing/2014/main" id="{2B6C6E68-916E-48BE-B848-CA0FD98E10E3}"/>
            </a:ext>
          </a:extLst>
        </xdr:cNvPr>
        <xdr:cNvSpPr txBox="1">
          <a:spLocks noChangeArrowheads="1"/>
        </xdr:cNvSpPr>
      </xdr:nvSpPr>
      <xdr:spPr bwMode="auto">
        <a:xfrm>
          <a:off x="4257675" y="377571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58" name="Text Box 3">
          <a:extLst>
            <a:ext uri="{FF2B5EF4-FFF2-40B4-BE49-F238E27FC236}">
              <a16:creationId xmlns:a16="http://schemas.microsoft.com/office/drawing/2014/main" id="{0379821E-3FE6-4812-B221-0085ABBB5913}"/>
            </a:ext>
          </a:extLst>
        </xdr:cNvPr>
        <xdr:cNvSpPr txBox="1">
          <a:spLocks noChangeArrowheads="1"/>
        </xdr:cNvSpPr>
      </xdr:nvSpPr>
      <xdr:spPr bwMode="auto">
        <a:xfrm>
          <a:off x="4257675" y="37757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59" name="Text Box 4">
          <a:extLst>
            <a:ext uri="{FF2B5EF4-FFF2-40B4-BE49-F238E27FC236}">
              <a16:creationId xmlns:a16="http://schemas.microsoft.com/office/drawing/2014/main" id="{39489F8E-C8F4-4171-8183-8E1C177C86E5}"/>
            </a:ext>
          </a:extLst>
        </xdr:cNvPr>
        <xdr:cNvSpPr txBox="1">
          <a:spLocks noChangeArrowheads="1"/>
        </xdr:cNvSpPr>
      </xdr:nvSpPr>
      <xdr:spPr bwMode="auto">
        <a:xfrm>
          <a:off x="0" y="37757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0" name="Text Box 3">
          <a:extLst>
            <a:ext uri="{FF2B5EF4-FFF2-40B4-BE49-F238E27FC236}">
              <a16:creationId xmlns:a16="http://schemas.microsoft.com/office/drawing/2014/main" id="{32569BA2-3C55-4162-B9B1-021E6D20B582}"/>
            </a:ext>
          </a:extLst>
        </xdr:cNvPr>
        <xdr:cNvSpPr txBox="1">
          <a:spLocks noChangeArrowheads="1"/>
        </xdr:cNvSpPr>
      </xdr:nvSpPr>
      <xdr:spPr bwMode="auto">
        <a:xfrm>
          <a:off x="4257675" y="377571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1" name="Text Box 3">
          <a:extLst>
            <a:ext uri="{FF2B5EF4-FFF2-40B4-BE49-F238E27FC236}">
              <a16:creationId xmlns:a16="http://schemas.microsoft.com/office/drawing/2014/main" id="{A53B0D57-7132-49F7-B372-63C5300531D2}"/>
            </a:ext>
          </a:extLst>
        </xdr:cNvPr>
        <xdr:cNvSpPr txBox="1">
          <a:spLocks noChangeArrowheads="1"/>
        </xdr:cNvSpPr>
      </xdr:nvSpPr>
      <xdr:spPr bwMode="auto">
        <a:xfrm>
          <a:off x="4257675" y="377571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2" name="Text Box 3">
          <a:extLst>
            <a:ext uri="{FF2B5EF4-FFF2-40B4-BE49-F238E27FC236}">
              <a16:creationId xmlns:a16="http://schemas.microsoft.com/office/drawing/2014/main" id="{AC53CBC1-E2B3-4A96-AAB2-6DD13AD986ED}"/>
            </a:ext>
          </a:extLst>
        </xdr:cNvPr>
        <xdr:cNvSpPr txBox="1">
          <a:spLocks noChangeArrowheads="1"/>
        </xdr:cNvSpPr>
      </xdr:nvSpPr>
      <xdr:spPr bwMode="auto">
        <a:xfrm>
          <a:off x="4257675" y="37757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3" name="Text Box 4">
          <a:extLst>
            <a:ext uri="{FF2B5EF4-FFF2-40B4-BE49-F238E27FC236}">
              <a16:creationId xmlns:a16="http://schemas.microsoft.com/office/drawing/2014/main" id="{38482022-A52C-404D-9B9D-09E01B957A5D}"/>
            </a:ext>
          </a:extLst>
        </xdr:cNvPr>
        <xdr:cNvSpPr txBox="1">
          <a:spLocks noChangeArrowheads="1"/>
        </xdr:cNvSpPr>
      </xdr:nvSpPr>
      <xdr:spPr bwMode="auto">
        <a:xfrm>
          <a:off x="0" y="37757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64" name="Text Box 3">
          <a:extLst>
            <a:ext uri="{FF2B5EF4-FFF2-40B4-BE49-F238E27FC236}">
              <a16:creationId xmlns:a16="http://schemas.microsoft.com/office/drawing/2014/main" id="{6AD8F122-6A35-4388-85A7-A465DAA099F7}"/>
            </a:ext>
          </a:extLst>
        </xdr:cNvPr>
        <xdr:cNvSpPr txBox="1">
          <a:spLocks noChangeArrowheads="1"/>
        </xdr:cNvSpPr>
      </xdr:nvSpPr>
      <xdr:spPr bwMode="auto">
        <a:xfrm>
          <a:off x="4257675" y="377571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5" name="Text Box 4">
          <a:extLst>
            <a:ext uri="{FF2B5EF4-FFF2-40B4-BE49-F238E27FC236}">
              <a16:creationId xmlns:a16="http://schemas.microsoft.com/office/drawing/2014/main" id="{524D5B87-863D-41D6-A7B6-7028703E37F4}"/>
            </a:ext>
          </a:extLst>
        </xdr:cNvPr>
        <xdr:cNvSpPr txBox="1">
          <a:spLocks noChangeArrowheads="1"/>
        </xdr:cNvSpPr>
      </xdr:nvSpPr>
      <xdr:spPr bwMode="auto">
        <a:xfrm>
          <a:off x="0" y="37757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6" name="Text Box 3">
          <a:extLst>
            <a:ext uri="{FF2B5EF4-FFF2-40B4-BE49-F238E27FC236}">
              <a16:creationId xmlns:a16="http://schemas.microsoft.com/office/drawing/2014/main" id="{CC04E96F-B20A-4499-BE4F-63B5576F3C8B}"/>
            </a:ext>
          </a:extLst>
        </xdr:cNvPr>
        <xdr:cNvSpPr txBox="1">
          <a:spLocks noChangeArrowheads="1"/>
        </xdr:cNvSpPr>
      </xdr:nvSpPr>
      <xdr:spPr bwMode="auto">
        <a:xfrm>
          <a:off x="4257675" y="37757100"/>
          <a:ext cx="76200" cy="20002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67" name="Text Box 3">
          <a:extLst>
            <a:ext uri="{FF2B5EF4-FFF2-40B4-BE49-F238E27FC236}">
              <a16:creationId xmlns:a16="http://schemas.microsoft.com/office/drawing/2014/main" id="{0B9ABAF0-26E8-41E9-91F5-2368A4AF4A66}"/>
            </a:ext>
          </a:extLst>
        </xdr:cNvPr>
        <xdr:cNvSpPr txBox="1">
          <a:spLocks noChangeArrowheads="1"/>
        </xdr:cNvSpPr>
      </xdr:nvSpPr>
      <xdr:spPr bwMode="auto">
        <a:xfrm>
          <a:off x="4257675" y="37957125"/>
          <a:ext cx="76200" cy="200025"/>
        </a:xfrm>
        <a:prstGeom prst="rect">
          <a:avLst/>
        </a:prstGeom>
        <a:noFill/>
        <a:ln w="9525">
          <a:noFill/>
          <a:miter lim="800000"/>
          <a:headEnd/>
          <a:tailEnd/>
        </a:ln>
      </xdr:spPr>
    </xdr:sp>
    <xdr:clientData/>
  </xdr:oneCellAnchor>
  <xdr:oneCellAnchor>
    <xdr:from>
      <xdr:col>0</xdr:col>
      <xdr:colOff>0</xdr:colOff>
      <xdr:row>230</xdr:row>
      <xdr:rowOff>0</xdr:rowOff>
    </xdr:from>
    <xdr:ext cx="28575" cy="104775"/>
    <xdr:sp macro="" textlink="">
      <xdr:nvSpPr>
        <xdr:cNvPr id="68" name="Text Box 4">
          <a:extLst>
            <a:ext uri="{FF2B5EF4-FFF2-40B4-BE49-F238E27FC236}">
              <a16:creationId xmlns:a16="http://schemas.microsoft.com/office/drawing/2014/main" id="{5D2089EA-A25B-4CF0-BE72-C098EA363F6F}"/>
            </a:ext>
          </a:extLst>
        </xdr:cNvPr>
        <xdr:cNvSpPr txBox="1">
          <a:spLocks noChangeArrowheads="1"/>
        </xdr:cNvSpPr>
      </xdr:nvSpPr>
      <xdr:spPr bwMode="auto">
        <a:xfrm>
          <a:off x="0" y="379571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69" name="Text Box 3">
          <a:extLst>
            <a:ext uri="{FF2B5EF4-FFF2-40B4-BE49-F238E27FC236}">
              <a16:creationId xmlns:a16="http://schemas.microsoft.com/office/drawing/2014/main" id="{986CCBEA-3937-427F-81D1-89A9F2FD37E0}"/>
            </a:ext>
          </a:extLst>
        </xdr:cNvPr>
        <xdr:cNvSpPr txBox="1">
          <a:spLocks noChangeArrowheads="1"/>
        </xdr:cNvSpPr>
      </xdr:nvSpPr>
      <xdr:spPr bwMode="auto">
        <a:xfrm>
          <a:off x="4257675" y="377571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70" name="Text Box 4">
          <a:extLst>
            <a:ext uri="{FF2B5EF4-FFF2-40B4-BE49-F238E27FC236}">
              <a16:creationId xmlns:a16="http://schemas.microsoft.com/office/drawing/2014/main" id="{109993F3-F80D-487F-8843-BC1C940EE440}"/>
            </a:ext>
          </a:extLst>
        </xdr:cNvPr>
        <xdr:cNvSpPr txBox="1">
          <a:spLocks noChangeArrowheads="1"/>
        </xdr:cNvSpPr>
      </xdr:nvSpPr>
      <xdr:spPr bwMode="auto">
        <a:xfrm>
          <a:off x="0" y="37757100"/>
          <a:ext cx="28575" cy="10477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71" name="Text Box 3">
          <a:extLst>
            <a:ext uri="{FF2B5EF4-FFF2-40B4-BE49-F238E27FC236}">
              <a16:creationId xmlns:a16="http://schemas.microsoft.com/office/drawing/2014/main" id="{7E13D24D-7740-46BB-AADC-E2DCF325897D}"/>
            </a:ext>
          </a:extLst>
        </xdr:cNvPr>
        <xdr:cNvSpPr txBox="1">
          <a:spLocks noChangeArrowheads="1"/>
        </xdr:cNvSpPr>
      </xdr:nvSpPr>
      <xdr:spPr bwMode="auto">
        <a:xfrm>
          <a:off x="4257675" y="47167800"/>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72" name="Text Box 3">
          <a:extLst>
            <a:ext uri="{FF2B5EF4-FFF2-40B4-BE49-F238E27FC236}">
              <a16:creationId xmlns:a16="http://schemas.microsoft.com/office/drawing/2014/main" id="{27DB399E-CE1D-44F6-A3B8-5045460DEC92}"/>
            </a:ext>
          </a:extLst>
        </xdr:cNvPr>
        <xdr:cNvSpPr txBox="1">
          <a:spLocks noChangeArrowheads="1"/>
        </xdr:cNvSpPr>
      </xdr:nvSpPr>
      <xdr:spPr bwMode="auto">
        <a:xfrm>
          <a:off x="4257675" y="47167800"/>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73" name="Text Box 3">
          <a:extLst>
            <a:ext uri="{FF2B5EF4-FFF2-40B4-BE49-F238E27FC236}">
              <a16:creationId xmlns:a16="http://schemas.microsoft.com/office/drawing/2014/main" id="{464268FB-D064-494C-96D7-71630E87D235}"/>
            </a:ext>
          </a:extLst>
        </xdr:cNvPr>
        <xdr:cNvSpPr txBox="1">
          <a:spLocks noChangeArrowheads="1"/>
        </xdr:cNvSpPr>
      </xdr:nvSpPr>
      <xdr:spPr bwMode="auto">
        <a:xfrm>
          <a:off x="4257675" y="47167800"/>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74" name="Text Box 3">
          <a:extLst>
            <a:ext uri="{FF2B5EF4-FFF2-40B4-BE49-F238E27FC236}">
              <a16:creationId xmlns:a16="http://schemas.microsoft.com/office/drawing/2014/main" id="{EFE384AC-0CED-4B75-8567-F8A74BD8AF93}"/>
            </a:ext>
          </a:extLst>
        </xdr:cNvPr>
        <xdr:cNvSpPr txBox="1">
          <a:spLocks noChangeArrowheads="1"/>
        </xdr:cNvSpPr>
      </xdr:nvSpPr>
      <xdr:spPr bwMode="auto">
        <a:xfrm>
          <a:off x="4257675" y="47167800"/>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75" name="Text Box 3">
          <a:extLst>
            <a:ext uri="{FF2B5EF4-FFF2-40B4-BE49-F238E27FC236}">
              <a16:creationId xmlns:a16="http://schemas.microsoft.com/office/drawing/2014/main" id="{FB4AE707-49C4-42BD-8C04-7C8E946DCDA1}"/>
            </a:ext>
          </a:extLst>
        </xdr:cNvPr>
        <xdr:cNvSpPr txBox="1">
          <a:spLocks noChangeArrowheads="1"/>
        </xdr:cNvSpPr>
      </xdr:nvSpPr>
      <xdr:spPr bwMode="auto">
        <a:xfrm>
          <a:off x="4257675" y="47167800"/>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76" name="Text Box 3">
          <a:extLst>
            <a:ext uri="{FF2B5EF4-FFF2-40B4-BE49-F238E27FC236}">
              <a16:creationId xmlns:a16="http://schemas.microsoft.com/office/drawing/2014/main" id="{54BB3C30-FCA7-48A3-9FAD-B621E88E0E4A}"/>
            </a:ext>
          </a:extLst>
        </xdr:cNvPr>
        <xdr:cNvSpPr txBox="1">
          <a:spLocks noChangeArrowheads="1"/>
        </xdr:cNvSpPr>
      </xdr:nvSpPr>
      <xdr:spPr bwMode="auto">
        <a:xfrm>
          <a:off x="4257675" y="47167800"/>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77" name="Text Box 3">
          <a:extLst>
            <a:ext uri="{FF2B5EF4-FFF2-40B4-BE49-F238E27FC236}">
              <a16:creationId xmlns:a16="http://schemas.microsoft.com/office/drawing/2014/main" id="{DD15DC45-BC5B-4B76-B2BA-A13759D66A91}"/>
            </a:ext>
          </a:extLst>
        </xdr:cNvPr>
        <xdr:cNvSpPr txBox="1">
          <a:spLocks noChangeArrowheads="1"/>
        </xdr:cNvSpPr>
      </xdr:nvSpPr>
      <xdr:spPr bwMode="auto">
        <a:xfrm>
          <a:off x="4257675" y="47167800"/>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78" name="Text Box 3">
          <a:extLst>
            <a:ext uri="{FF2B5EF4-FFF2-40B4-BE49-F238E27FC236}">
              <a16:creationId xmlns:a16="http://schemas.microsoft.com/office/drawing/2014/main" id="{FE77DC1B-A98B-4428-A3B3-695DB2FA8CA6}"/>
            </a:ext>
          </a:extLst>
        </xdr:cNvPr>
        <xdr:cNvSpPr txBox="1">
          <a:spLocks noChangeArrowheads="1"/>
        </xdr:cNvSpPr>
      </xdr:nvSpPr>
      <xdr:spPr bwMode="auto">
        <a:xfrm>
          <a:off x="4257675" y="47167800"/>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79" name="Text Box 3">
          <a:extLst>
            <a:ext uri="{FF2B5EF4-FFF2-40B4-BE49-F238E27FC236}">
              <a16:creationId xmlns:a16="http://schemas.microsoft.com/office/drawing/2014/main" id="{AED9AC75-F8D1-45E4-BDE7-E9E2AFA4F6AE}"/>
            </a:ext>
          </a:extLst>
        </xdr:cNvPr>
        <xdr:cNvSpPr txBox="1">
          <a:spLocks noChangeArrowheads="1"/>
        </xdr:cNvSpPr>
      </xdr:nvSpPr>
      <xdr:spPr bwMode="auto">
        <a:xfrm>
          <a:off x="4257675" y="47167800"/>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80" name="Text Box 3">
          <a:extLst>
            <a:ext uri="{FF2B5EF4-FFF2-40B4-BE49-F238E27FC236}">
              <a16:creationId xmlns:a16="http://schemas.microsoft.com/office/drawing/2014/main" id="{B0D3691C-2805-49E8-8949-256457587C59}"/>
            </a:ext>
          </a:extLst>
        </xdr:cNvPr>
        <xdr:cNvSpPr txBox="1">
          <a:spLocks noChangeArrowheads="1"/>
        </xdr:cNvSpPr>
      </xdr:nvSpPr>
      <xdr:spPr bwMode="auto">
        <a:xfrm>
          <a:off x="4257675" y="47167800"/>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81" name="Text Box 3">
          <a:extLst>
            <a:ext uri="{FF2B5EF4-FFF2-40B4-BE49-F238E27FC236}">
              <a16:creationId xmlns:a16="http://schemas.microsoft.com/office/drawing/2014/main" id="{FAE7B25C-ECF8-44E5-9BC9-649B78B91EE0}"/>
            </a:ext>
          </a:extLst>
        </xdr:cNvPr>
        <xdr:cNvSpPr txBox="1">
          <a:spLocks noChangeArrowheads="1"/>
        </xdr:cNvSpPr>
      </xdr:nvSpPr>
      <xdr:spPr bwMode="auto">
        <a:xfrm>
          <a:off x="4257675" y="47167800"/>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82" name="Text Box 3">
          <a:extLst>
            <a:ext uri="{FF2B5EF4-FFF2-40B4-BE49-F238E27FC236}">
              <a16:creationId xmlns:a16="http://schemas.microsoft.com/office/drawing/2014/main" id="{B28BE859-1F30-4CDA-9C37-91459477E11E}"/>
            </a:ext>
          </a:extLst>
        </xdr:cNvPr>
        <xdr:cNvSpPr txBox="1">
          <a:spLocks noChangeArrowheads="1"/>
        </xdr:cNvSpPr>
      </xdr:nvSpPr>
      <xdr:spPr bwMode="auto">
        <a:xfrm>
          <a:off x="4257675" y="47167800"/>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83" name="Text Box 3">
          <a:extLst>
            <a:ext uri="{FF2B5EF4-FFF2-40B4-BE49-F238E27FC236}">
              <a16:creationId xmlns:a16="http://schemas.microsoft.com/office/drawing/2014/main" id="{78706828-B4B7-4588-BBF2-1086B6DE2915}"/>
            </a:ext>
          </a:extLst>
        </xdr:cNvPr>
        <xdr:cNvSpPr txBox="1">
          <a:spLocks noChangeArrowheads="1"/>
        </xdr:cNvSpPr>
      </xdr:nvSpPr>
      <xdr:spPr bwMode="auto">
        <a:xfrm>
          <a:off x="4257675" y="47167800"/>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84" name="Text Box 3">
          <a:extLst>
            <a:ext uri="{FF2B5EF4-FFF2-40B4-BE49-F238E27FC236}">
              <a16:creationId xmlns:a16="http://schemas.microsoft.com/office/drawing/2014/main" id="{9AEE087E-9148-456F-9F87-FAB7AEB370B8}"/>
            </a:ext>
          </a:extLst>
        </xdr:cNvPr>
        <xdr:cNvSpPr txBox="1">
          <a:spLocks noChangeArrowheads="1"/>
        </xdr:cNvSpPr>
      </xdr:nvSpPr>
      <xdr:spPr bwMode="auto">
        <a:xfrm>
          <a:off x="4257675" y="47167800"/>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85" name="Text Box 3">
          <a:extLst>
            <a:ext uri="{FF2B5EF4-FFF2-40B4-BE49-F238E27FC236}">
              <a16:creationId xmlns:a16="http://schemas.microsoft.com/office/drawing/2014/main" id="{BB2724D2-59D0-41CF-8D2B-93F321EC131D}"/>
            </a:ext>
          </a:extLst>
        </xdr:cNvPr>
        <xdr:cNvSpPr txBox="1">
          <a:spLocks noChangeArrowheads="1"/>
        </xdr:cNvSpPr>
      </xdr:nvSpPr>
      <xdr:spPr bwMode="auto">
        <a:xfrm>
          <a:off x="4257675" y="47167800"/>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86" name="Text Box 3">
          <a:extLst>
            <a:ext uri="{FF2B5EF4-FFF2-40B4-BE49-F238E27FC236}">
              <a16:creationId xmlns:a16="http://schemas.microsoft.com/office/drawing/2014/main" id="{A367294D-731C-4B0A-AC83-B72D6C31F6DC}"/>
            </a:ext>
          </a:extLst>
        </xdr:cNvPr>
        <xdr:cNvSpPr txBox="1">
          <a:spLocks noChangeArrowheads="1"/>
        </xdr:cNvSpPr>
      </xdr:nvSpPr>
      <xdr:spPr bwMode="auto">
        <a:xfrm>
          <a:off x="4257675" y="47167800"/>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87" name="Text Box 3">
          <a:extLst>
            <a:ext uri="{FF2B5EF4-FFF2-40B4-BE49-F238E27FC236}">
              <a16:creationId xmlns:a16="http://schemas.microsoft.com/office/drawing/2014/main" id="{CC404B80-88C3-42FF-8C92-B656A0DA9B05}"/>
            </a:ext>
          </a:extLst>
        </xdr:cNvPr>
        <xdr:cNvSpPr txBox="1">
          <a:spLocks noChangeArrowheads="1"/>
        </xdr:cNvSpPr>
      </xdr:nvSpPr>
      <xdr:spPr bwMode="auto">
        <a:xfrm>
          <a:off x="4257675" y="47167800"/>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88" name="Text Box 3">
          <a:extLst>
            <a:ext uri="{FF2B5EF4-FFF2-40B4-BE49-F238E27FC236}">
              <a16:creationId xmlns:a16="http://schemas.microsoft.com/office/drawing/2014/main" id="{45C362F0-0FFD-421C-A45B-4B2AD3CB7EED}"/>
            </a:ext>
          </a:extLst>
        </xdr:cNvPr>
        <xdr:cNvSpPr txBox="1">
          <a:spLocks noChangeArrowheads="1"/>
        </xdr:cNvSpPr>
      </xdr:nvSpPr>
      <xdr:spPr bwMode="auto">
        <a:xfrm>
          <a:off x="4257675" y="47167800"/>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89" name="Text Box 3">
          <a:extLst>
            <a:ext uri="{FF2B5EF4-FFF2-40B4-BE49-F238E27FC236}">
              <a16:creationId xmlns:a16="http://schemas.microsoft.com/office/drawing/2014/main" id="{2F830E63-842C-4373-8777-ECAD655FBA2D}"/>
            </a:ext>
          </a:extLst>
        </xdr:cNvPr>
        <xdr:cNvSpPr txBox="1">
          <a:spLocks noChangeArrowheads="1"/>
        </xdr:cNvSpPr>
      </xdr:nvSpPr>
      <xdr:spPr bwMode="auto">
        <a:xfrm>
          <a:off x="4257675" y="47167800"/>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90" name="Text Box 3">
          <a:extLst>
            <a:ext uri="{FF2B5EF4-FFF2-40B4-BE49-F238E27FC236}">
              <a16:creationId xmlns:a16="http://schemas.microsoft.com/office/drawing/2014/main" id="{9CBE7233-4C44-4362-A5C7-DC3B9CA30524}"/>
            </a:ext>
          </a:extLst>
        </xdr:cNvPr>
        <xdr:cNvSpPr txBox="1">
          <a:spLocks noChangeArrowheads="1"/>
        </xdr:cNvSpPr>
      </xdr:nvSpPr>
      <xdr:spPr bwMode="auto">
        <a:xfrm>
          <a:off x="4257675" y="47167800"/>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91" name="Text Box 3">
          <a:extLst>
            <a:ext uri="{FF2B5EF4-FFF2-40B4-BE49-F238E27FC236}">
              <a16:creationId xmlns:a16="http://schemas.microsoft.com/office/drawing/2014/main" id="{8F05A5AB-CEDA-48E4-9C1D-24A0E9F2CB6D}"/>
            </a:ext>
          </a:extLst>
        </xdr:cNvPr>
        <xdr:cNvSpPr txBox="1">
          <a:spLocks noChangeArrowheads="1"/>
        </xdr:cNvSpPr>
      </xdr:nvSpPr>
      <xdr:spPr bwMode="auto">
        <a:xfrm>
          <a:off x="4257675" y="47167800"/>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92" name="Text Box 3">
          <a:extLst>
            <a:ext uri="{FF2B5EF4-FFF2-40B4-BE49-F238E27FC236}">
              <a16:creationId xmlns:a16="http://schemas.microsoft.com/office/drawing/2014/main" id="{2D64DAF4-593D-4807-B576-32C73601AF14}"/>
            </a:ext>
          </a:extLst>
        </xdr:cNvPr>
        <xdr:cNvSpPr txBox="1">
          <a:spLocks noChangeArrowheads="1"/>
        </xdr:cNvSpPr>
      </xdr:nvSpPr>
      <xdr:spPr bwMode="auto">
        <a:xfrm>
          <a:off x="4257675" y="47167800"/>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93" name="Text Box 3">
          <a:extLst>
            <a:ext uri="{FF2B5EF4-FFF2-40B4-BE49-F238E27FC236}">
              <a16:creationId xmlns:a16="http://schemas.microsoft.com/office/drawing/2014/main" id="{B7336C52-E4A0-410E-9134-AA6159104F8B}"/>
            </a:ext>
          </a:extLst>
        </xdr:cNvPr>
        <xdr:cNvSpPr txBox="1">
          <a:spLocks noChangeArrowheads="1"/>
        </xdr:cNvSpPr>
      </xdr:nvSpPr>
      <xdr:spPr bwMode="auto">
        <a:xfrm>
          <a:off x="4257675" y="47167800"/>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94" name="Text Box 3">
          <a:extLst>
            <a:ext uri="{FF2B5EF4-FFF2-40B4-BE49-F238E27FC236}">
              <a16:creationId xmlns:a16="http://schemas.microsoft.com/office/drawing/2014/main" id="{EA6C0B40-8EEA-4CD2-A631-755FB204E5EB}"/>
            </a:ext>
          </a:extLst>
        </xdr:cNvPr>
        <xdr:cNvSpPr txBox="1">
          <a:spLocks noChangeArrowheads="1"/>
        </xdr:cNvSpPr>
      </xdr:nvSpPr>
      <xdr:spPr bwMode="auto">
        <a:xfrm>
          <a:off x="4257675" y="47167800"/>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95" name="Text Box 3">
          <a:extLst>
            <a:ext uri="{FF2B5EF4-FFF2-40B4-BE49-F238E27FC236}">
              <a16:creationId xmlns:a16="http://schemas.microsoft.com/office/drawing/2014/main" id="{2B1D9DE1-0E70-463F-8FD2-25AA5A78CA48}"/>
            </a:ext>
          </a:extLst>
        </xdr:cNvPr>
        <xdr:cNvSpPr txBox="1">
          <a:spLocks noChangeArrowheads="1"/>
        </xdr:cNvSpPr>
      </xdr:nvSpPr>
      <xdr:spPr bwMode="auto">
        <a:xfrm>
          <a:off x="4257675" y="47167800"/>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96" name="Text Box 3">
          <a:extLst>
            <a:ext uri="{FF2B5EF4-FFF2-40B4-BE49-F238E27FC236}">
              <a16:creationId xmlns:a16="http://schemas.microsoft.com/office/drawing/2014/main" id="{357121A4-C579-47C5-9559-1D7DC9F42E67}"/>
            </a:ext>
          </a:extLst>
        </xdr:cNvPr>
        <xdr:cNvSpPr txBox="1">
          <a:spLocks noChangeArrowheads="1"/>
        </xdr:cNvSpPr>
      </xdr:nvSpPr>
      <xdr:spPr bwMode="auto">
        <a:xfrm>
          <a:off x="4257675" y="47167800"/>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97" name="Text Box 3">
          <a:extLst>
            <a:ext uri="{FF2B5EF4-FFF2-40B4-BE49-F238E27FC236}">
              <a16:creationId xmlns:a16="http://schemas.microsoft.com/office/drawing/2014/main" id="{24E9B6E0-5468-44F5-85BB-B5EB6155DD0C}"/>
            </a:ext>
          </a:extLst>
        </xdr:cNvPr>
        <xdr:cNvSpPr txBox="1">
          <a:spLocks noChangeArrowheads="1"/>
        </xdr:cNvSpPr>
      </xdr:nvSpPr>
      <xdr:spPr bwMode="auto">
        <a:xfrm>
          <a:off x="4257675" y="47167800"/>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98" name="Text Box 3">
          <a:extLst>
            <a:ext uri="{FF2B5EF4-FFF2-40B4-BE49-F238E27FC236}">
              <a16:creationId xmlns:a16="http://schemas.microsoft.com/office/drawing/2014/main" id="{917CBC48-2A9F-4754-86DF-FDA78A6FF8AE}"/>
            </a:ext>
          </a:extLst>
        </xdr:cNvPr>
        <xdr:cNvSpPr txBox="1">
          <a:spLocks noChangeArrowheads="1"/>
        </xdr:cNvSpPr>
      </xdr:nvSpPr>
      <xdr:spPr bwMode="auto">
        <a:xfrm>
          <a:off x="4257675" y="47167800"/>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99" name="Text Box 3">
          <a:extLst>
            <a:ext uri="{FF2B5EF4-FFF2-40B4-BE49-F238E27FC236}">
              <a16:creationId xmlns:a16="http://schemas.microsoft.com/office/drawing/2014/main" id="{980AE054-63BA-4708-9B07-38CBDBC310B9}"/>
            </a:ext>
          </a:extLst>
        </xdr:cNvPr>
        <xdr:cNvSpPr txBox="1">
          <a:spLocks noChangeArrowheads="1"/>
        </xdr:cNvSpPr>
      </xdr:nvSpPr>
      <xdr:spPr bwMode="auto">
        <a:xfrm>
          <a:off x="4257675" y="47167800"/>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0" name="Text Box 3">
          <a:extLst>
            <a:ext uri="{FF2B5EF4-FFF2-40B4-BE49-F238E27FC236}">
              <a16:creationId xmlns:a16="http://schemas.microsoft.com/office/drawing/2014/main" id="{4781A7E4-88CB-4670-B027-2FF87E4A0F23}"/>
            </a:ext>
          </a:extLst>
        </xdr:cNvPr>
        <xdr:cNvSpPr txBox="1">
          <a:spLocks noChangeArrowheads="1"/>
        </xdr:cNvSpPr>
      </xdr:nvSpPr>
      <xdr:spPr bwMode="auto">
        <a:xfrm>
          <a:off x="4257675" y="47167800"/>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1" name="Text Box 3">
          <a:extLst>
            <a:ext uri="{FF2B5EF4-FFF2-40B4-BE49-F238E27FC236}">
              <a16:creationId xmlns:a16="http://schemas.microsoft.com/office/drawing/2014/main" id="{A0C53A25-437B-4763-9E49-842085C8D331}"/>
            </a:ext>
          </a:extLst>
        </xdr:cNvPr>
        <xdr:cNvSpPr txBox="1">
          <a:spLocks noChangeArrowheads="1"/>
        </xdr:cNvSpPr>
      </xdr:nvSpPr>
      <xdr:spPr bwMode="auto">
        <a:xfrm>
          <a:off x="4257675" y="47167800"/>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02" name="Text Box 3">
          <a:extLst>
            <a:ext uri="{FF2B5EF4-FFF2-40B4-BE49-F238E27FC236}">
              <a16:creationId xmlns:a16="http://schemas.microsoft.com/office/drawing/2014/main" id="{D6D70C7D-7216-4BFF-8B20-80EF2CAA1362}"/>
            </a:ext>
          </a:extLst>
        </xdr:cNvPr>
        <xdr:cNvSpPr txBox="1">
          <a:spLocks noChangeArrowheads="1"/>
        </xdr:cNvSpPr>
      </xdr:nvSpPr>
      <xdr:spPr bwMode="auto">
        <a:xfrm>
          <a:off x="4257675" y="47167800"/>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3" name="Text Box 3">
          <a:extLst>
            <a:ext uri="{FF2B5EF4-FFF2-40B4-BE49-F238E27FC236}">
              <a16:creationId xmlns:a16="http://schemas.microsoft.com/office/drawing/2014/main" id="{B93D8CF8-D322-4396-B2AA-3D9FD52F31B8}"/>
            </a:ext>
          </a:extLst>
        </xdr:cNvPr>
        <xdr:cNvSpPr txBox="1">
          <a:spLocks noChangeArrowheads="1"/>
        </xdr:cNvSpPr>
      </xdr:nvSpPr>
      <xdr:spPr bwMode="auto">
        <a:xfrm>
          <a:off x="4257675" y="47167800"/>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4" name="Text Box 3">
          <a:extLst>
            <a:ext uri="{FF2B5EF4-FFF2-40B4-BE49-F238E27FC236}">
              <a16:creationId xmlns:a16="http://schemas.microsoft.com/office/drawing/2014/main" id="{4031D1FC-B01C-471D-AD3F-37CE5E7B8C71}"/>
            </a:ext>
          </a:extLst>
        </xdr:cNvPr>
        <xdr:cNvSpPr txBox="1">
          <a:spLocks noChangeArrowheads="1"/>
        </xdr:cNvSpPr>
      </xdr:nvSpPr>
      <xdr:spPr bwMode="auto">
        <a:xfrm>
          <a:off x="4257675" y="47167800"/>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5" name="Text Box 3">
          <a:extLst>
            <a:ext uri="{FF2B5EF4-FFF2-40B4-BE49-F238E27FC236}">
              <a16:creationId xmlns:a16="http://schemas.microsoft.com/office/drawing/2014/main" id="{CA232AEE-F0EE-4641-B78D-291803B7E4F6}"/>
            </a:ext>
          </a:extLst>
        </xdr:cNvPr>
        <xdr:cNvSpPr txBox="1">
          <a:spLocks noChangeArrowheads="1"/>
        </xdr:cNvSpPr>
      </xdr:nvSpPr>
      <xdr:spPr bwMode="auto">
        <a:xfrm>
          <a:off x="4257675" y="47167800"/>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6" name="Text Box 3">
          <a:extLst>
            <a:ext uri="{FF2B5EF4-FFF2-40B4-BE49-F238E27FC236}">
              <a16:creationId xmlns:a16="http://schemas.microsoft.com/office/drawing/2014/main" id="{F4F7B2C4-3F76-406E-9B5D-0BBA3F846703}"/>
            </a:ext>
          </a:extLst>
        </xdr:cNvPr>
        <xdr:cNvSpPr txBox="1">
          <a:spLocks noChangeArrowheads="1"/>
        </xdr:cNvSpPr>
      </xdr:nvSpPr>
      <xdr:spPr bwMode="auto">
        <a:xfrm>
          <a:off x="4257675" y="47167800"/>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7" name="Text Box 3">
          <a:extLst>
            <a:ext uri="{FF2B5EF4-FFF2-40B4-BE49-F238E27FC236}">
              <a16:creationId xmlns:a16="http://schemas.microsoft.com/office/drawing/2014/main" id="{525BFED1-700F-422F-8BEA-9579FF447D86}"/>
            </a:ext>
          </a:extLst>
        </xdr:cNvPr>
        <xdr:cNvSpPr txBox="1">
          <a:spLocks noChangeArrowheads="1"/>
        </xdr:cNvSpPr>
      </xdr:nvSpPr>
      <xdr:spPr bwMode="auto">
        <a:xfrm>
          <a:off x="4257675" y="47167800"/>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08" name="Text Box 3">
          <a:extLst>
            <a:ext uri="{FF2B5EF4-FFF2-40B4-BE49-F238E27FC236}">
              <a16:creationId xmlns:a16="http://schemas.microsoft.com/office/drawing/2014/main" id="{80833E45-F757-41D5-9CC8-80D51F18DE36}"/>
            </a:ext>
          </a:extLst>
        </xdr:cNvPr>
        <xdr:cNvSpPr txBox="1">
          <a:spLocks noChangeArrowheads="1"/>
        </xdr:cNvSpPr>
      </xdr:nvSpPr>
      <xdr:spPr bwMode="auto">
        <a:xfrm>
          <a:off x="4257675" y="47167800"/>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9" name="Text Box 3">
          <a:extLst>
            <a:ext uri="{FF2B5EF4-FFF2-40B4-BE49-F238E27FC236}">
              <a16:creationId xmlns:a16="http://schemas.microsoft.com/office/drawing/2014/main" id="{084AB9E0-6F35-42B6-959A-5793A75806FF}"/>
            </a:ext>
          </a:extLst>
        </xdr:cNvPr>
        <xdr:cNvSpPr txBox="1">
          <a:spLocks noChangeArrowheads="1"/>
        </xdr:cNvSpPr>
      </xdr:nvSpPr>
      <xdr:spPr bwMode="auto">
        <a:xfrm>
          <a:off x="4257675" y="47167800"/>
          <a:ext cx="76200" cy="200025"/>
        </a:xfrm>
        <a:prstGeom prst="rect">
          <a:avLst/>
        </a:prstGeom>
        <a:noFill/>
        <a:ln w="9525">
          <a:noFill/>
          <a:miter lim="800000"/>
          <a:headEnd/>
          <a:tailEnd/>
        </a:ln>
      </xdr:spPr>
    </xdr:sp>
    <xdr:clientData/>
  </xdr:oneCellAnchor>
  <xdr:oneCellAnchor>
    <xdr:from>
      <xdr:col>6</xdr:col>
      <xdr:colOff>590550</xdr:colOff>
      <xdr:row>288</xdr:row>
      <xdr:rowOff>0</xdr:rowOff>
    </xdr:from>
    <xdr:ext cx="76200" cy="200025"/>
    <xdr:sp macro="" textlink="">
      <xdr:nvSpPr>
        <xdr:cNvPr id="110" name="Text Box 3">
          <a:extLst>
            <a:ext uri="{FF2B5EF4-FFF2-40B4-BE49-F238E27FC236}">
              <a16:creationId xmlns:a16="http://schemas.microsoft.com/office/drawing/2014/main" id="{91C4DF95-A656-45D3-B011-8A2E8C2C8C59}"/>
            </a:ext>
          </a:extLst>
        </xdr:cNvPr>
        <xdr:cNvSpPr txBox="1">
          <a:spLocks noChangeArrowheads="1"/>
        </xdr:cNvSpPr>
      </xdr:nvSpPr>
      <xdr:spPr bwMode="auto">
        <a:xfrm>
          <a:off x="4257675" y="47529750"/>
          <a:ext cx="76200" cy="200025"/>
        </a:xfrm>
        <a:prstGeom prst="rect">
          <a:avLst/>
        </a:prstGeom>
        <a:noFill/>
        <a:ln w="9525">
          <a:noFill/>
          <a:miter lim="800000"/>
          <a:headEnd/>
          <a:tailEnd/>
        </a:ln>
      </xdr:spPr>
    </xdr:sp>
    <xdr:clientData/>
  </xdr:oneCellAnchor>
  <xdr:oneCellAnchor>
    <xdr:from>
      <xdr:col>0</xdr:col>
      <xdr:colOff>0</xdr:colOff>
      <xdr:row>288</xdr:row>
      <xdr:rowOff>0</xdr:rowOff>
    </xdr:from>
    <xdr:ext cx="28575" cy="104775"/>
    <xdr:sp macro="" textlink="">
      <xdr:nvSpPr>
        <xdr:cNvPr id="111" name="Text Box 4">
          <a:extLst>
            <a:ext uri="{FF2B5EF4-FFF2-40B4-BE49-F238E27FC236}">
              <a16:creationId xmlns:a16="http://schemas.microsoft.com/office/drawing/2014/main" id="{5E7A1E10-1F7A-4C3C-AC68-98F1F0A53000}"/>
            </a:ext>
          </a:extLst>
        </xdr:cNvPr>
        <xdr:cNvSpPr txBox="1">
          <a:spLocks noChangeArrowheads="1"/>
        </xdr:cNvSpPr>
      </xdr:nvSpPr>
      <xdr:spPr bwMode="auto">
        <a:xfrm>
          <a:off x="0" y="47529750"/>
          <a:ext cx="28575" cy="104775"/>
        </a:xfrm>
        <a:prstGeom prst="rect">
          <a:avLst/>
        </a:prstGeom>
        <a:noFill/>
        <a:ln w="9525">
          <a:noFill/>
          <a:miter lim="800000"/>
          <a:headEnd/>
          <a:tailEnd/>
        </a:ln>
      </xdr:spPr>
    </xdr:sp>
    <xdr:clientData/>
  </xdr:oneCellAnchor>
  <xdr:oneCellAnchor>
    <xdr:from>
      <xdr:col>6</xdr:col>
      <xdr:colOff>590550</xdr:colOff>
      <xdr:row>287</xdr:row>
      <xdr:rowOff>0</xdr:rowOff>
    </xdr:from>
    <xdr:ext cx="76200" cy="196850"/>
    <xdr:sp macro="" textlink="">
      <xdr:nvSpPr>
        <xdr:cNvPr id="112" name="Text Box 3">
          <a:extLst>
            <a:ext uri="{FF2B5EF4-FFF2-40B4-BE49-F238E27FC236}">
              <a16:creationId xmlns:a16="http://schemas.microsoft.com/office/drawing/2014/main" id="{87060173-C224-43F7-B4EE-17D9704C40BC}"/>
            </a:ext>
          </a:extLst>
        </xdr:cNvPr>
        <xdr:cNvSpPr txBox="1">
          <a:spLocks noChangeArrowheads="1"/>
        </xdr:cNvSpPr>
      </xdr:nvSpPr>
      <xdr:spPr bwMode="auto">
        <a:xfrm>
          <a:off x="4257675" y="47329725"/>
          <a:ext cx="76200" cy="196850"/>
        </a:xfrm>
        <a:prstGeom prst="rect">
          <a:avLst/>
        </a:prstGeom>
        <a:noFill/>
        <a:ln w="9525">
          <a:noFill/>
          <a:miter lim="800000"/>
          <a:headEnd/>
          <a:tailEnd/>
        </a:ln>
      </xdr:spPr>
    </xdr:sp>
    <xdr:clientData/>
  </xdr:oneCellAnchor>
  <xdr:oneCellAnchor>
    <xdr:from>
      <xdr:col>0</xdr:col>
      <xdr:colOff>0</xdr:colOff>
      <xdr:row>287</xdr:row>
      <xdr:rowOff>0</xdr:rowOff>
    </xdr:from>
    <xdr:ext cx="28575" cy="104775"/>
    <xdr:sp macro="" textlink="">
      <xdr:nvSpPr>
        <xdr:cNvPr id="113" name="Text Box 4">
          <a:extLst>
            <a:ext uri="{FF2B5EF4-FFF2-40B4-BE49-F238E27FC236}">
              <a16:creationId xmlns:a16="http://schemas.microsoft.com/office/drawing/2014/main" id="{11F28607-918D-4391-950E-F4477BF16F28}"/>
            </a:ext>
          </a:extLst>
        </xdr:cNvPr>
        <xdr:cNvSpPr txBox="1">
          <a:spLocks noChangeArrowheads="1"/>
        </xdr:cNvSpPr>
      </xdr:nvSpPr>
      <xdr:spPr bwMode="auto">
        <a:xfrm>
          <a:off x="0" y="47329725"/>
          <a:ext cx="28575" cy="10477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14" name="Text Box 3">
          <a:extLst>
            <a:ext uri="{FF2B5EF4-FFF2-40B4-BE49-F238E27FC236}">
              <a16:creationId xmlns:a16="http://schemas.microsoft.com/office/drawing/2014/main" id="{7547F3AE-10F7-402E-9CBE-1519FC19758E}"/>
            </a:ext>
          </a:extLst>
        </xdr:cNvPr>
        <xdr:cNvSpPr txBox="1">
          <a:spLocks noChangeArrowheads="1"/>
        </xdr:cNvSpPr>
      </xdr:nvSpPr>
      <xdr:spPr bwMode="auto">
        <a:xfrm>
          <a:off x="4257675" y="56740425"/>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15" name="Text Box 3">
          <a:extLst>
            <a:ext uri="{FF2B5EF4-FFF2-40B4-BE49-F238E27FC236}">
              <a16:creationId xmlns:a16="http://schemas.microsoft.com/office/drawing/2014/main" id="{B2D7E097-8917-489D-83A4-072F1B6B5C8B}"/>
            </a:ext>
          </a:extLst>
        </xdr:cNvPr>
        <xdr:cNvSpPr txBox="1">
          <a:spLocks noChangeArrowheads="1"/>
        </xdr:cNvSpPr>
      </xdr:nvSpPr>
      <xdr:spPr bwMode="auto">
        <a:xfrm>
          <a:off x="4257675" y="56740425"/>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16" name="Text Box 3">
          <a:extLst>
            <a:ext uri="{FF2B5EF4-FFF2-40B4-BE49-F238E27FC236}">
              <a16:creationId xmlns:a16="http://schemas.microsoft.com/office/drawing/2014/main" id="{87CA1455-6CCE-4F31-9BAE-75D5500C2934}"/>
            </a:ext>
          </a:extLst>
        </xdr:cNvPr>
        <xdr:cNvSpPr txBox="1">
          <a:spLocks noChangeArrowheads="1"/>
        </xdr:cNvSpPr>
      </xdr:nvSpPr>
      <xdr:spPr bwMode="auto">
        <a:xfrm>
          <a:off x="4257675" y="56740425"/>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17" name="Text Box 3">
          <a:extLst>
            <a:ext uri="{FF2B5EF4-FFF2-40B4-BE49-F238E27FC236}">
              <a16:creationId xmlns:a16="http://schemas.microsoft.com/office/drawing/2014/main" id="{4F7B5BE9-250C-4A31-B694-D8ACE6B235AC}"/>
            </a:ext>
          </a:extLst>
        </xdr:cNvPr>
        <xdr:cNvSpPr txBox="1">
          <a:spLocks noChangeArrowheads="1"/>
        </xdr:cNvSpPr>
      </xdr:nvSpPr>
      <xdr:spPr bwMode="auto">
        <a:xfrm>
          <a:off x="4257675" y="56740425"/>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18" name="Text Box 3">
          <a:extLst>
            <a:ext uri="{FF2B5EF4-FFF2-40B4-BE49-F238E27FC236}">
              <a16:creationId xmlns:a16="http://schemas.microsoft.com/office/drawing/2014/main" id="{5B3BE5DA-E25A-4283-8506-1DF4928306C8}"/>
            </a:ext>
          </a:extLst>
        </xdr:cNvPr>
        <xdr:cNvSpPr txBox="1">
          <a:spLocks noChangeArrowheads="1"/>
        </xdr:cNvSpPr>
      </xdr:nvSpPr>
      <xdr:spPr bwMode="auto">
        <a:xfrm>
          <a:off x="4257675" y="56740425"/>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19" name="Text Box 3">
          <a:extLst>
            <a:ext uri="{FF2B5EF4-FFF2-40B4-BE49-F238E27FC236}">
              <a16:creationId xmlns:a16="http://schemas.microsoft.com/office/drawing/2014/main" id="{B29FA79F-5C03-4E28-B0D2-EA2B67564753}"/>
            </a:ext>
          </a:extLst>
        </xdr:cNvPr>
        <xdr:cNvSpPr txBox="1">
          <a:spLocks noChangeArrowheads="1"/>
        </xdr:cNvSpPr>
      </xdr:nvSpPr>
      <xdr:spPr bwMode="auto">
        <a:xfrm>
          <a:off x="4257675" y="56740425"/>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20" name="Text Box 3">
          <a:extLst>
            <a:ext uri="{FF2B5EF4-FFF2-40B4-BE49-F238E27FC236}">
              <a16:creationId xmlns:a16="http://schemas.microsoft.com/office/drawing/2014/main" id="{0C8D5BB4-45FB-4F6B-BA39-60BE17D3F644}"/>
            </a:ext>
          </a:extLst>
        </xdr:cNvPr>
        <xdr:cNvSpPr txBox="1">
          <a:spLocks noChangeArrowheads="1"/>
        </xdr:cNvSpPr>
      </xdr:nvSpPr>
      <xdr:spPr bwMode="auto">
        <a:xfrm>
          <a:off x="4257675" y="56740425"/>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21" name="Text Box 3">
          <a:extLst>
            <a:ext uri="{FF2B5EF4-FFF2-40B4-BE49-F238E27FC236}">
              <a16:creationId xmlns:a16="http://schemas.microsoft.com/office/drawing/2014/main" id="{32189DFA-672E-44DD-9217-E81BC6986604}"/>
            </a:ext>
          </a:extLst>
        </xdr:cNvPr>
        <xdr:cNvSpPr txBox="1">
          <a:spLocks noChangeArrowheads="1"/>
        </xdr:cNvSpPr>
      </xdr:nvSpPr>
      <xdr:spPr bwMode="auto">
        <a:xfrm>
          <a:off x="4257675" y="56740425"/>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22" name="Text Box 3">
          <a:extLst>
            <a:ext uri="{FF2B5EF4-FFF2-40B4-BE49-F238E27FC236}">
              <a16:creationId xmlns:a16="http://schemas.microsoft.com/office/drawing/2014/main" id="{C10B8BD6-D4D1-401F-ABA0-75DB76E25C08}"/>
            </a:ext>
          </a:extLst>
        </xdr:cNvPr>
        <xdr:cNvSpPr txBox="1">
          <a:spLocks noChangeArrowheads="1"/>
        </xdr:cNvSpPr>
      </xdr:nvSpPr>
      <xdr:spPr bwMode="auto">
        <a:xfrm>
          <a:off x="4257675" y="56740425"/>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23" name="Text Box 3">
          <a:extLst>
            <a:ext uri="{FF2B5EF4-FFF2-40B4-BE49-F238E27FC236}">
              <a16:creationId xmlns:a16="http://schemas.microsoft.com/office/drawing/2014/main" id="{BAE2CC63-8807-468B-9271-F2F6EF7E8A06}"/>
            </a:ext>
          </a:extLst>
        </xdr:cNvPr>
        <xdr:cNvSpPr txBox="1">
          <a:spLocks noChangeArrowheads="1"/>
        </xdr:cNvSpPr>
      </xdr:nvSpPr>
      <xdr:spPr bwMode="auto">
        <a:xfrm>
          <a:off x="4257675" y="56740425"/>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24" name="Text Box 3">
          <a:extLst>
            <a:ext uri="{FF2B5EF4-FFF2-40B4-BE49-F238E27FC236}">
              <a16:creationId xmlns:a16="http://schemas.microsoft.com/office/drawing/2014/main" id="{5615A5DF-A734-4897-B945-BCEA458D327B}"/>
            </a:ext>
          </a:extLst>
        </xdr:cNvPr>
        <xdr:cNvSpPr txBox="1">
          <a:spLocks noChangeArrowheads="1"/>
        </xdr:cNvSpPr>
      </xdr:nvSpPr>
      <xdr:spPr bwMode="auto">
        <a:xfrm>
          <a:off x="4257675" y="56740425"/>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25" name="Text Box 3">
          <a:extLst>
            <a:ext uri="{FF2B5EF4-FFF2-40B4-BE49-F238E27FC236}">
              <a16:creationId xmlns:a16="http://schemas.microsoft.com/office/drawing/2014/main" id="{A67E4C8C-3CF9-4E94-83B7-94DFD25DFFB9}"/>
            </a:ext>
          </a:extLst>
        </xdr:cNvPr>
        <xdr:cNvSpPr txBox="1">
          <a:spLocks noChangeArrowheads="1"/>
        </xdr:cNvSpPr>
      </xdr:nvSpPr>
      <xdr:spPr bwMode="auto">
        <a:xfrm>
          <a:off x="4257675" y="56740425"/>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26" name="Text Box 3">
          <a:extLst>
            <a:ext uri="{FF2B5EF4-FFF2-40B4-BE49-F238E27FC236}">
              <a16:creationId xmlns:a16="http://schemas.microsoft.com/office/drawing/2014/main" id="{9F4090B1-4291-4E78-B377-099044BE933C}"/>
            </a:ext>
          </a:extLst>
        </xdr:cNvPr>
        <xdr:cNvSpPr txBox="1">
          <a:spLocks noChangeArrowheads="1"/>
        </xdr:cNvSpPr>
      </xdr:nvSpPr>
      <xdr:spPr bwMode="auto">
        <a:xfrm>
          <a:off x="4257675" y="56740425"/>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27" name="Text Box 3">
          <a:extLst>
            <a:ext uri="{FF2B5EF4-FFF2-40B4-BE49-F238E27FC236}">
              <a16:creationId xmlns:a16="http://schemas.microsoft.com/office/drawing/2014/main" id="{B4AFB07D-4531-493D-A652-3B6A3576B4E8}"/>
            </a:ext>
          </a:extLst>
        </xdr:cNvPr>
        <xdr:cNvSpPr txBox="1">
          <a:spLocks noChangeArrowheads="1"/>
        </xdr:cNvSpPr>
      </xdr:nvSpPr>
      <xdr:spPr bwMode="auto">
        <a:xfrm>
          <a:off x="4257675" y="56740425"/>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28" name="Text Box 3">
          <a:extLst>
            <a:ext uri="{FF2B5EF4-FFF2-40B4-BE49-F238E27FC236}">
              <a16:creationId xmlns:a16="http://schemas.microsoft.com/office/drawing/2014/main" id="{770FFA2E-DAC8-4A78-BD53-2F4792238744}"/>
            </a:ext>
          </a:extLst>
        </xdr:cNvPr>
        <xdr:cNvSpPr txBox="1">
          <a:spLocks noChangeArrowheads="1"/>
        </xdr:cNvSpPr>
      </xdr:nvSpPr>
      <xdr:spPr bwMode="auto">
        <a:xfrm>
          <a:off x="4257675" y="56740425"/>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29" name="Text Box 3">
          <a:extLst>
            <a:ext uri="{FF2B5EF4-FFF2-40B4-BE49-F238E27FC236}">
              <a16:creationId xmlns:a16="http://schemas.microsoft.com/office/drawing/2014/main" id="{01DEB4AB-4A5A-488B-A0E4-B0EAFDC75CAF}"/>
            </a:ext>
          </a:extLst>
        </xdr:cNvPr>
        <xdr:cNvSpPr txBox="1">
          <a:spLocks noChangeArrowheads="1"/>
        </xdr:cNvSpPr>
      </xdr:nvSpPr>
      <xdr:spPr bwMode="auto">
        <a:xfrm>
          <a:off x="4257675" y="56740425"/>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30" name="Text Box 3">
          <a:extLst>
            <a:ext uri="{FF2B5EF4-FFF2-40B4-BE49-F238E27FC236}">
              <a16:creationId xmlns:a16="http://schemas.microsoft.com/office/drawing/2014/main" id="{AF621220-2B9F-4A79-8C48-34F3D862CE80}"/>
            </a:ext>
          </a:extLst>
        </xdr:cNvPr>
        <xdr:cNvSpPr txBox="1">
          <a:spLocks noChangeArrowheads="1"/>
        </xdr:cNvSpPr>
      </xdr:nvSpPr>
      <xdr:spPr bwMode="auto">
        <a:xfrm>
          <a:off x="4257675" y="56740425"/>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31" name="Text Box 3">
          <a:extLst>
            <a:ext uri="{FF2B5EF4-FFF2-40B4-BE49-F238E27FC236}">
              <a16:creationId xmlns:a16="http://schemas.microsoft.com/office/drawing/2014/main" id="{69A900A9-B65E-42E8-B503-521C16A94E31}"/>
            </a:ext>
          </a:extLst>
        </xdr:cNvPr>
        <xdr:cNvSpPr txBox="1">
          <a:spLocks noChangeArrowheads="1"/>
        </xdr:cNvSpPr>
      </xdr:nvSpPr>
      <xdr:spPr bwMode="auto">
        <a:xfrm>
          <a:off x="4257675" y="56740425"/>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32" name="Text Box 3">
          <a:extLst>
            <a:ext uri="{FF2B5EF4-FFF2-40B4-BE49-F238E27FC236}">
              <a16:creationId xmlns:a16="http://schemas.microsoft.com/office/drawing/2014/main" id="{68067B01-23DF-4A60-A9C5-05B79525BA9D}"/>
            </a:ext>
          </a:extLst>
        </xdr:cNvPr>
        <xdr:cNvSpPr txBox="1">
          <a:spLocks noChangeArrowheads="1"/>
        </xdr:cNvSpPr>
      </xdr:nvSpPr>
      <xdr:spPr bwMode="auto">
        <a:xfrm>
          <a:off x="4257675" y="56740425"/>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33" name="Text Box 3">
          <a:extLst>
            <a:ext uri="{FF2B5EF4-FFF2-40B4-BE49-F238E27FC236}">
              <a16:creationId xmlns:a16="http://schemas.microsoft.com/office/drawing/2014/main" id="{7231280C-1F9B-45B1-BBD4-ECA86245145C}"/>
            </a:ext>
          </a:extLst>
        </xdr:cNvPr>
        <xdr:cNvSpPr txBox="1">
          <a:spLocks noChangeArrowheads="1"/>
        </xdr:cNvSpPr>
      </xdr:nvSpPr>
      <xdr:spPr bwMode="auto">
        <a:xfrm>
          <a:off x="4257675" y="56740425"/>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34" name="Text Box 3">
          <a:extLst>
            <a:ext uri="{FF2B5EF4-FFF2-40B4-BE49-F238E27FC236}">
              <a16:creationId xmlns:a16="http://schemas.microsoft.com/office/drawing/2014/main" id="{5D8194FA-AE72-4E02-8547-05C12F85DBF4}"/>
            </a:ext>
          </a:extLst>
        </xdr:cNvPr>
        <xdr:cNvSpPr txBox="1">
          <a:spLocks noChangeArrowheads="1"/>
        </xdr:cNvSpPr>
      </xdr:nvSpPr>
      <xdr:spPr bwMode="auto">
        <a:xfrm>
          <a:off x="4257675" y="56740425"/>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35" name="Text Box 3">
          <a:extLst>
            <a:ext uri="{FF2B5EF4-FFF2-40B4-BE49-F238E27FC236}">
              <a16:creationId xmlns:a16="http://schemas.microsoft.com/office/drawing/2014/main" id="{4CB2F77D-3793-4F83-BD5E-D78FE1FC0582}"/>
            </a:ext>
          </a:extLst>
        </xdr:cNvPr>
        <xdr:cNvSpPr txBox="1">
          <a:spLocks noChangeArrowheads="1"/>
        </xdr:cNvSpPr>
      </xdr:nvSpPr>
      <xdr:spPr bwMode="auto">
        <a:xfrm>
          <a:off x="4257675" y="56740425"/>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36" name="Text Box 3">
          <a:extLst>
            <a:ext uri="{FF2B5EF4-FFF2-40B4-BE49-F238E27FC236}">
              <a16:creationId xmlns:a16="http://schemas.microsoft.com/office/drawing/2014/main" id="{6BF9F0E7-B977-43F7-8015-128F282824AA}"/>
            </a:ext>
          </a:extLst>
        </xdr:cNvPr>
        <xdr:cNvSpPr txBox="1">
          <a:spLocks noChangeArrowheads="1"/>
        </xdr:cNvSpPr>
      </xdr:nvSpPr>
      <xdr:spPr bwMode="auto">
        <a:xfrm>
          <a:off x="4257675" y="56740425"/>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37" name="Text Box 3">
          <a:extLst>
            <a:ext uri="{FF2B5EF4-FFF2-40B4-BE49-F238E27FC236}">
              <a16:creationId xmlns:a16="http://schemas.microsoft.com/office/drawing/2014/main" id="{A4127CA6-7530-4F5B-BB95-CA832E924590}"/>
            </a:ext>
          </a:extLst>
        </xdr:cNvPr>
        <xdr:cNvSpPr txBox="1">
          <a:spLocks noChangeArrowheads="1"/>
        </xdr:cNvSpPr>
      </xdr:nvSpPr>
      <xdr:spPr bwMode="auto">
        <a:xfrm>
          <a:off x="4257675" y="56740425"/>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38" name="Text Box 3">
          <a:extLst>
            <a:ext uri="{FF2B5EF4-FFF2-40B4-BE49-F238E27FC236}">
              <a16:creationId xmlns:a16="http://schemas.microsoft.com/office/drawing/2014/main" id="{F66C49A7-4B3F-430A-BCEC-9C59C9AE3641}"/>
            </a:ext>
          </a:extLst>
        </xdr:cNvPr>
        <xdr:cNvSpPr txBox="1">
          <a:spLocks noChangeArrowheads="1"/>
        </xdr:cNvSpPr>
      </xdr:nvSpPr>
      <xdr:spPr bwMode="auto">
        <a:xfrm>
          <a:off x="4257675" y="56740425"/>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39" name="Text Box 3">
          <a:extLst>
            <a:ext uri="{FF2B5EF4-FFF2-40B4-BE49-F238E27FC236}">
              <a16:creationId xmlns:a16="http://schemas.microsoft.com/office/drawing/2014/main" id="{2529A389-9D99-4815-80B3-52B2F7B9DD60}"/>
            </a:ext>
          </a:extLst>
        </xdr:cNvPr>
        <xdr:cNvSpPr txBox="1">
          <a:spLocks noChangeArrowheads="1"/>
        </xdr:cNvSpPr>
      </xdr:nvSpPr>
      <xdr:spPr bwMode="auto">
        <a:xfrm>
          <a:off x="4257675" y="56740425"/>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40" name="Text Box 3">
          <a:extLst>
            <a:ext uri="{FF2B5EF4-FFF2-40B4-BE49-F238E27FC236}">
              <a16:creationId xmlns:a16="http://schemas.microsoft.com/office/drawing/2014/main" id="{8F72AB40-E315-42F9-BCB7-F460E2B17E4C}"/>
            </a:ext>
          </a:extLst>
        </xdr:cNvPr>
        <xdr:cNvSpPr txBox="1">
          <a:spLocks noChangeArrowheads="1"/>
        </xdr:cNvSpPr>
      </xdr:nvSpPr>
      <xdr:spPr bwMode="auto">
        <a:xfrm>
          <a:off x="4257675" y="56740425"/>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41" name="Text Box 3">
          <a:extLst>
            <a:ext uri="{FF2B5EF4-FFF2-40B4-BE49-F238E27FC236}">
              <a16:creationId xmlns:a16="http://schemas.microsoft.com/office/drawing/2014/main" id="{6450688F-A893-4123-8A08-6DA70F65BB27}"/>
            </a:ext>
          </a:extLst>
        </xdr:cNvPr>
        <xdr:cNvSpPr txBox="1">
          <a:spLocks noChangeArrowheads="1"/>
        </xdr:cNvSpPr>
      </xdr:nvSpPr>
      <xdr:spPr bwMode="auto">
        <a:xfrm>
          <a:off x="4257675" y="56740425"/>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42" name="Text Box 3">
          <a:extLst>
            <a:ext uri="{FF2B5EF4-FFF2-40B4-BE49-F238E27FC236}">
              <a16:creationId xmlns:a16="http://schemas.microsoft.com/office/drawing/2014/main" id="{E68B36D1-CC41-4A7A-BCD2-297157B8A4DC}"/>
            </a:ext>
          </a:extLst>
        </xdr:cNvPr>
        <xdr:cNvSpPr txBox="1">
          <a:spLocks noChangeArrowheads="1"/>
        </xdr:cNvSpPr>
      </xdr:nvSpPr>
      <xdr:spPr bwMode="auto">
        <a:xfrm>
          <a:off x="4257675" y="56740425"/>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43" name="Text Box 3">
          <a:extLst>
            <a:ext uri="{FF2B5EF4-FFF2-40B4-BE49-F238E27FC236}">
              <a16:creationId xmlns:a16="http://schemas.microsoft.com/office/drawing/2014/main" id="{02800415-E0D6-4C2F-9138-8F167A50FDA0}"/>
            </a:ext>
          </a:extLst>
        </xdr:cNvPr>
        <xdr:cNvSpPr txBox="1">
          <a:spLocks noChangeArrowheads="1"/>
        </xdr:cNvSpPr>
      </xdr:nvSpPr>
      <xdr:spPr bwMode="auto">
        <a:xfrm>
          <a:off x="4257675" y="56740425"/>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44" name="Text Box 3">
          <a:extLst>
            <a:ext uri="{FF2B5EF4-FFF2-40B4-BE49-F238E27FC236}">
              <a16:creationId xmlns:a16="http://schemas.microsoft.com/office/drawing/2014/main" id="{4BC7C88C-A8C3-4183-B102-AA6D0E1754F6}"/>
            </a:ext>
          </a:extLst>
        </xdr:cNvPr>
        <xdr:cNvSpPr txBox="1">
          <a:spLocks noChangeArrowheads="1"/>
        </xdr:cNvSpPr>
      </xdr:nvSpPr>
      <xdr:spPr bwMode="auto">
        <a:xfrm>
          <a:off x="4257675" y="56740425"/>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45" name="Text Box 3">
          <a:extLst>
            <a:ext uri="{FF2B5EF4-FFF2-40B4-BE49-F238E27FC236}">
              <a16:creationId xmlns:a16="http://schemas.microsoft.com/office/drawing/2014/main" id="{8A2B9AC4-7747-40D0-A672-BC2BA741B29E}"/>
            </a:ext>
          </a:extLst>
        </xdr:cNvPr>
        <xdr:cNvSpPr txBox="1">
          <a:spLocks noChangeArrowheads="1"/>
        </xdr:cNvSpPr>
      </xdr:nvSpPr>
      <xdr:spPr bwMode="auto">
        <a:xfrm>
          <a:off x="4257675" y="56740425"/>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46" name="Text Box 3">
          <a:extLst>
            <a:ext uri="{FF2B5EF4-FFF2-40B4-BE49-F238E27FC236}">
              <a16:creationId xmlns:a16="http://schemas.microsoft.com/office/drawing/2014/main" id="{20CB7F74-5123-4407-95BC-D8B60AB932F4}"/>
            </a:ext>
          </a:extLst>
        </xdr:cNvPr>
        <xdr:cNvSpPr txBox="1">
          <a:spLocks noChangeArrowheads="1"/>
        </xdr:cNvSpPr>
      </xdr:nvSpPr>
      <xdr:spPr bwMode="auto">
        <a:xfrm>
          <a:off x="4257675" y="56740425"/>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47" name="Text Box 3">
          <a:extLst>
            <a:ext uri="{FF2B5EF4-FFF2-40B4-BE49-F238E27FC236}">
              <a16:creationId xmlns:a16="http://schemas.microsoft.com/office/drawing/2014/main" id="{8A422454-AAFB-40AB-8A82-25D447F61777}"/>
            </a:ext>
          </a:extLst>
        </xdr:cNvPr>
        <xdr:cNvSpPr txBox="1">
          <a:spLocks noChangeArrowheads="1"/>
        </xdr:cNvSpPr>
      </xdr:nvSpPr>
      <xdr:spPr bwMode="auto">
        <a:xfrm>
          <a:off x="4257675" y="56740425"/>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48" name="Text Box 3">
          <a:extLst>
            <a:ext uri="{FF2B5EF4-FFF2-40B4-BE49-F238E27FC236}">
              <a16:creationId xmlns:a16="http://schemas.microsoft.com/office/drawing/2014/main" id="{1C56DA28-F73E-4929-B937-362FA9DC2299}"/>
            </a:ext>
          </a:extLst>
        </xdr:cNvPr>
        <xdr:cNvSpPr txBox="1">
          <a:spLocks noChangeArrowheads="1"/>
        </xdr:cNvSpPr>
      </xdr:nvSpPr>
      <xdr:spPr bwMode="auto">
        <a:xfrm>
          <a:off x="4257675" y="56740425"/>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49" name="Text Box 3">
          <a:extLst>
            <a:ext uri="{FF2B5EF4-FFF2-40B4-BE49-F238E27FC236}">
              <a16:creationId xmlns:a16="http://schemas.microsoft.com/office/drawing/2014/main" id="{1668EB53-79A1-479A-9DA1-5221B50A0C7D}"/>
            </a:ext>
          </a:extLst>
        </xdr:cNvPr>
        <xdr:cNvSpPr txBox="1">
          <a:spLocks noChangeArrowheads="1"/>
        </xdr:cNvSpPr>
      </xdr:nvSpPr>
      <xdr:spPr bwMode="auto">
        <a:xfrm>
          <a:off x="4257675" y="56740425"/>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0" name="Text Box 3">
          <a:extLst>
            <a:ext uri="{FF2B5EF4-FFF2-40B4-BE49-F238E27FC236}">
              <a16:creationId xmlns:a16="http://schemas.microsoft.com/office/drawing/2014/main" id="{04A4298D-A925-4ECE-82F6-281871A63FDA}"/>
            </a:ext>
          </a:extLst>
        </xdr:cNvPr>
        <xdr:cNvSpPr txBox="1">
          <a:spLocks noChangeArrowheads="1"/>
        </xdr:cNvSpPr>
      </xdr:nvSpPr>
      <xdr:spPr bwMode="auto">
        <a:xfrm>
          <a:off x="4257675" y="56740425"/>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51" name="Text Box 3">
          <a:extLst>
            <a:ext uri="{FF2B5EF4-FFF2-40B4-BE49-F238E27FC236}">
              <a16:creationId xmlns:a16="http://schemas.microsoft.com/office/drawing/2014/main" id="{CFC2FC91-5107-46D8-8643-187DB4D1E6F0}"/>
            </a:ext>
          </a:extLst>
        </xdr:cNvPr>
        <xdr:cNvSpPr txBox="1">
          <a:spLocks noChangeArrowheads="1"/>
        </xdr:cNvSpPr>
      </xdr:nvSpPr>
      <xdr:spPr bwMode="auto">
        <a:xfrm>
          <a:off x="4257675" y="56740425"/>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2" name="Text Box 3">
          <a:extLst>
            <a:ext uri="{FF2B5EF4-FFF2-40B4-BE49-F238E27FC236}">
              <a16:creationId xmlns:a16="http://schemas.microsoft.com/office/drawing/2014/main" id="{42EB328C-52AD-49A0-A2FE-A78CFA1F93BA}"/>
            </a:ext>
          </a:extLst>
        </xdr:cNvPr>
        <xdr:cNvSpPr txBox="1">
          <a:spLocks noChangeArrowheads="1"/>
        </xdr:cNvSpPr>
      </xdr:nvSpPr>
      <xdr:spPr bwMode="auto">
        <a:xfrm>
          <a:off x="4257675" y="56740425"/>
          <a:ext cx="76200" cy="200025"/>
        </a:xfrm>
        <a:prstGeom prst="rect">
          <a:avLst/>
        </a:prstGeom>
        <a:noFill/>
        <a:ln w="9525">
          <a:noFill/>
          <a:miter lim="800000"/>
          <a:headEnd/>
          <a:tailEnd/>
        </a:ln>
      </xdr:spPr>
    </xdr:sp>
    <xdr:clientData/>
  </xdr:oneCellAnchor>
  <xdr:oneCellAnchor>
    <xdr:from>
      <xdr:col>6</xdr:col>
      <xdr:colOff>590550</xdr:colOff>
      <xdr:row>346</xdr:row>
      <xdr:rowOff>0</xdr:rowOff>
    </xdr:from>
    <xdr:ext cx="76200" cy="200025"/>
    <xdr:sp macro="" textlink="">
      <xdr:nvSpPr>
        <xdr:cNvPr id="153" name="Text Box 3">
          <a:extLst>
            <a:ext uri="{FF2B5EF4-FFF2-40B4-BE49-F238E27FC236}">
              <a16:creationId xmlns:a16="http://schemas.microsoft.com/office/drawing/2014/main" id="{BF160A9C-30A6-4D96-9296-BB328AE0E933}"/>
            </a:ext>
          </a:extLst>
        </xdr:cNvPr>
        <xdr:cNvSpPr txBox="1">
          <a:spLocks noChangeArrowheads="1"/>
        </xdr:cNvSpPr>
      </xdr:nvSpPr>
      <xdr:spPr bwMode="auto">
        <a:xfrm>
          <a:off x="4257675" y="57102375"/>
          <a:ext cx="76200" cy="200025"/>
        </a:xfrm>
        <a:prstGeom prst="rect">
          <a:avLst/>
        </a:prstGeom>
        <a:noFill/>
        <a:ln w="9525">
          <a:noFill/>
          <a:miter lim="800000"/>
          <a:headEnd/>
          <a:tailEnd/>
        </a:ln>
      </xdr:spPr>
    </xdr:sp>
    <xdr:clientData/>
  </xdr:oneCellAnchor>
  <xdr:oneCellAnchor>
    <xdr:from>
      <xdr:col>0</xdr:col>
      <xdr:colOff>0</xdr:colOff>
      <xdr:row>346</xdr:row>
      <xdr:rowOff>0</xdr:rowOff>
    </xdr:from>
    <xdr:ext cx="28575" cy="104775"/>
    <xdr:sp macro="" textlink="">
      <xdr:nvSpPr>
        <xdr:cNvPr id="154" name="Text Box 4">
          <a:extLst>
            <a:ext uri="{FF2B5EF4-FFF2-40B4-BE49-F238E27FC236}">
              <a16:creationId xmlns:a16="http://schemas.microsoft.com/office/drawing/2014/main" id="{640D6404-9741-4C76-9EC5-35BA4C624CC0}"/>
            </a:ext>
          </a:extLst>
        </xdr:cNvPr>
        <xdr:cNvSpPr txBox="1">
          <a:spLocks noChangeArrowheads="1"/>
        </xdr:cNvSpPr>
      </xdr:nvSpPr>
      <xdr:spPr bwMode="auto">
        <a:xfrm>
          <a:off x="0" y="57102375"/>
          <a:ext cx="28575" cy="104775"/>
        </a:xfrm>
        <a:prstGeom prst="rect">
          <a:avLst/>
        </a:prstGeom>
        <a:noFill/>
        <a:ln w="9525">
          <a:noFill/>
          <a:miter lim="800000"/>
          <a:headEnd/>
          <a:tailEnd/>
        </a:ln>
      </xdr:spPr>
    </xdr:sp>
    <xdr:clientData/>
  </xdr:oneCellAnchor>
  <xdr:oneCellAnchor>
    <xdr:from>
      <xdr:col>6</xdr:col>
      <xdr:colOff>590550</xdr:colOff>
      <xdr:row>345</xdr:row>
      <xdr:rowOff>0</xdr:rowOff>
    </xdr:from>
    <xdr:ext cx="76200" cy="196850"/>
    <xdr:sp macro="" textlink="">
      <xdr:nvSpPr>
        <xdr:cNvPr id="155" name="Text Box 3">
          <a:extLst>
            <a:ext uri="{FF2B5EF4-FFF2-40B4-BE49-F238E27FC236}">
              <a16:creationId xmlns:a16="http://schemas.microsoft.com/office/drawing/2014/main" id="{22C2EF3D-67CF-4E00-BC7C-6A0C96D1520D}"/>
            </a:ext>
          </a:extLst>
        </xdr:cNvPr>
        <xdr:cNvSpPr txBox="1">
          <a:spLocks noChangeArrowheads="1"/>
        </xdr:cNvSpPr>
      </xdr:nvSpPr>
      <xdr:spPr bwMode="auto">
        <a:xfrm>
          <a:off x="4257675" y="56902350"/>
          <a:ext cx="76200" cy="196850"/>
        </a:xfrm>
        <a:prstGeom prst="rect">
          <a:avLst/>
        </a:prstGeom>
        <a:noFill/>
        <a:ln w="9525">
          <a:noFill/>
          <a:miter lim="800000"/>
          <a:headEnd/>
          <a:tailEnd/>
        </a:ln>
      </xdr:spPr>
    </xdr:sp>
    <xdr:clientData/>
  </xdr:oneCellAnchor>
  <xdr:oneCellAnchor>
    <xdr:from>
      <xdr:col>0</xdr:col>
      <xdr:colOff>0</xdr:colOff>
      <xdr:row>345</xdr:row>
      <xdr:rowOff>0</xdr:rowOff>
    </xdr:from>
    <xdr:ext cx="28575" cy="104775"/>
    <xdr:sp macro="" textlink="">
      <xdr:nvSpPr>
        <xdr:cNvPr id="156" name="Text Box 4">
          <a:extLst>
            <a:ext uri="{FF2B5EF4-FFF2-40B4-BE49-F238E27FC236}">
              <a16:creationId xmlns:a16="http://schemas.microsoft.com/office/drawing/2014/main" id="{08597747-C527-4BBA-B165-A1F573DA95EB}"/>
            </a:ext>
          </a:extLst>
        </xdr:cNvPr>
        <xdr:cNvSpPr txBox="1">
          <a:spLocks noChangeArrowheads="1"/>
        </xdr:cNvSpPr>
      </xdr:nvSpPr>
      <xdr:spPr bwMode="auto">
        <a:xfrm>
          <a:off x="0" y="56902350"/>
          <a:ext cx="28575" cy="10477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57" name="Text Box 3">
          <a:extLst>
            <a:ext uri="{FF2B5EF4-FFF2-40B4-BE49-F238E27FC236}">
              <a16:creationId xmlns:a16="http://schemas.microsoft.com/office/drawing/2014/main" id="{1154441E-9E0B-4959-A78A-B8984DA292EC}"/>
            </a:ext>
          </a:extLst>
        </xdr:cNvPr>
        <xdr:cNvSpPr txBox="1">
          <a:spLocks noChangeArrowheads="1"/>
        </xdr:cNvSpPr>
      </xdr:nvSpPr>
      <xdr:spPr bwMode="auto">
        <a:xfrm>
          <a:off x="4257675" y="66313050"/>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58" name="Text Box 3">
          <a:extLst>
            <a:ext uri="{FF2B5EF4-FFF2-40B4-BE49-F238E27FC236}">
              <a16:creationId xmlns:a16="http://schemas.microsoft.com/office/drawing/2014/main" id="{80AF7F84-4D1B-4718-BA99-7CF4ADE530B6}"/>
            </a:ext>
          </a:extLst>
        </xdr:cNvPr>
        <xdr:cNvSpPr txBox="1">
          <a:spLocks noChangeArrowheads="1"/>
        </xdr:cNvSpPr>
      </xdr:nvSpPr>
      <xdr:spPr bwMode="auto">
        <a:xfrm>
          <a:off x="4257675" y="66313050"/>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59" name="Text Box 3">
          <a:extLst>
            <a:ext uri="{FF2B5EF4-FFF2-40B4-BE49-F238E27FC236}">
              <a16:creationId xmlns:a16="http://schemas.microsoft.com/office/drawing/2014/main" id="{61CAFE8C-A2AA-4651-9D25-25EB2C773E7A}"/>
            </a:ext>
          </a:extLst>
        </xdr:cNvPr>
        <xdr:cNvSpPr txBox="1">
          <a:spLocks noChangeArrowheads="1"/>
        </xdr:cNvSpPr>
      </xdr:nvSpPr>
      <xdr:spPr bwMode="auto">
        <a:xfrm>
          <a:off x="4257675" y="66313050"/>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60" name="Text Box 3">
          <a:extLst>
            <a:ext uri="{FF2B5EF4-FFF2-40B4-BE49-F238E27FC236}">
              <a16:creationId xmlns:a16="http://schemas.microsoft.com/office/drawing/2014/main" id="{ED13BC7D-717C-4FB6-810E-57B7E8F75F82}"/>
            </a:ext>
          </a:extLst>
        </xdr:cNvPr>
        <xdr:cNvSpPr txBox="1">
          <a:spLocks noChangeArrowheads="1"/>
        </xdr:cNvSpPr>
      </xdr:nvSpPr>
      <xdr:spPr bwMode="auto">
        <a:xfrm>
          <a:off x="4257675" y="66313050"/>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61" name="Text Box 3">
          <a:extLst>
            <a:ext uri="{FF2B5EF4-FFF2-40B4-BE49-F238E27FC236}">
              <a16:creationId xmlns:a16="http://schemas.microsoft.com/office/drawing/2014/main" id="{ADB7B255-E363-4510-8051-BFB4AA64C237}"/>
            </a:ext>
          </a:extLst>
        </xdr:cNvPr>
        <xdr:cNvSpPr txBox="1">
          <a:spLocks noChangeArrowheads="1"/>
        </xdr:cNvSpPr>
      </xdr:nvSpPr>
      <xdr:spPr bwMode="auto">
        <a:xfrm>
          <a:off x="4257675" y="66313050"/>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62" name="Text Box 3">
          <a:extLst>
            <a:ext uri="{FF2B5EF4-FFF2-40B4-BE49-F238E27FC236}">
              <a16:creationId xmlns:a16="http://schemas.microsoft.com/office/drawing/2014/main" id="{FF1697B4-D338-4A38-997D-44D188F6167E}"/>
            </a:ext>
          </a:extLst>
        </xdr:cNvPr>
        <xdr:cNvSpPr txBox="1">
          <a:spLocks noChangeArrowheads="1"/>
        </xdr:cNvSpPr>
      </xdr:nvSpPr>
      <xdr:spPr bwMode="auto">
        <a:xfrm>
          <a:off x="4257675" y="66313050"/>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63" name="Text Box 3">
          <a:extLst>
            <a:ext uri="{FF2B5EF4-FFF2-40B4-BE49-F238E27FC236}">
              <a16:creationId xmlns:a16="http://schemas.microsoft.com/office/drawing/2014/main" id="{D2EF9B48-6BFB-4CD8-8800-1FF8C484AEDF}"/>
            </a:ext>
          </a:extLst>
        </xdr:cNvPr>
        <xdr:cNvSpPr txBox="1">
          <a:spLocks noChangeArrowheads="1"/>
        </xdr:cNvSpPr>
      </xdr:nvSpPr>
      <xdr:spPr bwMode="auto">
        <a:xfrm>
          <a:off x="4257675" y="66313050"/>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64" name="Text Box 3">
          <a:extLst>
            <a:ext uri="{FF2B5EF4-FFF2-40B4-BE49-F238E27FC236}">
              <a16:creationId xmlns:a16="http://schemas.microsoft.com/office/drawing/2014/main" id="{0E14AB3A-4DAE-4D57-BA6C-477D8AFC012A}"/>
            </a:ext>
          </a:extLst>
        </xdr:cNvPr>
        <xdr:cNvSpPr txBox="1">
          <a:spLocks noChangeArrowheads="1"/>
        </xdr:cNvSpPr>
      </xdr:nvSpPr>
      <xdr:spPr bwMode="auto">
        <a:xfrm>
          <a:off x="4257675" y="66313050"/>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65" name="Text Box 3">
          <a:extLst>
            <a:ext uri="{FF2B5EF4-FFF2-40B4-BE49-F238E27FC236}">
              <a16:creationId xmlns:a16="http://schemas.microsoft.com/office/drawing/2014/main" id="{294C19B3-0763-40DD-98D5-DE6C21A9E289}"/>
            </a:ext>
          </a:extLst>
        </xdr:cNvPr>
        <xdr:cNvSpPr txBox="1">
          <a:spLocks noChangeArrowheads="1"/>
        </xdr:cNvSpPr>
      </xdr:nvSpPr>
      <xdr:spPr bwMode="auto">
        <a:xfrm>
          <a:off x="4257675" y="66313050"/>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66" name="Text Box 3">
          <a:extLst>
            <a:ext uri="{FF2B5EF4-FFF2-40B4-BE49-F238E27FC236}">
              <a16:creationId xmlns:a16="http://schemas.microsoft.com/office/drawing/2014/main" id="{4D60E482-7847-4503-92B5-6C8C1C860956}"/>
            </a:ext>
          </a:extLst>
        </xdr:cNvPr>
        <xdr:cNvSpPr txBox="1">
          <a:spLocks noChangeArrowheads="1"/>
        </xdr:cNvSpPr>
      </xdr:nvSpPr>
      <xdr:spPr bwMode="auto">
        <a:xfrm>
          <a:off x="4257675" y="66313050"/>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67" name="Text Box 3">
          <a:extLst>
            <a:ext uri="{FF2B5EF4-FFF2-40B4-BE49-F238E27FC236}">
              <a16:creationId xmlns:a16="http://schemas.microsoft.com/office/drawing/2014/main" id="{1983010C-1F9E-41E0-B3FF-5DACA9F6C46C}"/>
            </a:ext>
          </a:extLst>
        </xdr:cNvPr>
        <xdr:cNvSpPr txBox="1">
          <a:spLocks noChangeArrowheads="1"/>
        </xdr:cNvSpPr>
      </xdr:nvSpPr>
      <xdr:spPr bwMode="auto">
        <a:xfrm>
          <a:off x="4257675" y="66313050"/>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68" name="Text Box 3">
          <a:extLst>
            <a:ext uri="{FF2B5EF4-FFF2-40B4-BE49-F238E27FC236}">
              <a16:creationId xmlns:a16="http://schemas.microsoft.com/office/drawing/2014/main" id="{6473ACAB-F35D-4B99-A634-89BEA2457C3C}"/>
            </a:ext>
          </a:extLst>
        </xdr:cNvPr>
        <xdr:cNvSpPr txBox="1">
          <a:spLocks noChangeArrowheads="1"/>
        </xdr:cNvSpPr>
      </xdr:nvSpPr>
      <xdr:spPr bwMode="auto">
        <a:xfrm>
          <a:off x="4257675" y="66313050"/>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69" name="Text Box 3">
          <a:extLst>
            <a:ext uri="{FF2B5EF4-FFF2-40B4-BE49-F238E27FC236}">
              <a16:creationId xmlns:a16="http://schemas.microsoft.com/office/drawing/2014/main" id="{01B6C204-9C7E-4E9C-A685-E878B5E6B437}"/>
            </a:ext>
          </a:extLst>
        </xdr:cNvPr>
        <xdr:cNvSpPr txBox="1">
          <a:spLocks noChangeArrowheads="1"/>
        </xdr:cNvSpPr>
      </xdr:nvSpPr>
      <xdr:spPr bwMode="auto">
        <a:xfrm>
          <a:off x="4257675" y="66313050"/>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70" name="Text Box 3">
          <a:extLst>
            <a:ext uri="{FF2B5EF4-FFF2-40B4-BE49-F238E27FC236}">
              <a16:creationId xmlns:a16="http://schemas.microsoft.com/office/drawing/2014/main" id="{4C0748FE-C006-413E-B9DA-82D76CC299B6}"/>
            </a:ext>
          </a:extLst>
        </xdr:cNvPr>
        <xdr:cNvSpPr txBox="1">
          <a:spLocks noChangeArrowheads="1"/>
        </xdr:cNvSpPr>
      </xdr:nvSpPr>
      <xdr:spPr bwMode="auto">
        <a:xfrm>
          <a:off x="4257675" y="66313050"/>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71" name="Text Box 3">
          <a:extLst>
            <a:ext uri="{FF2B5EF4-FFF2-40B4-BE49-F238E27FC236}">
              <a16:creationId xmlns:a16="http://schemas.microsoft.com/office/drawing/2014/main" id="{FDC41F0D-FC0A-4325-9D74-8AE28FF92BBE}"/>
            </a:ext>
          </a:extLst>
        </xdr:cNvPr>
        <xdr:cNvSpPr txBox="1">
          <a:spLocks noChangeArrowheads="1"/>
        </xdr:cNvSpPr>
      </xdr:nvSpPr>
      <xdr:spPr bwMode="auto">
        <a:xfrm>
          <a:off x="4257675" y="66313050"/>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72" name="Text Box 3">
          <a:extLst>
            <a:ext uri="{FF2B5EF4-FFF2-40B4-BE49-F238E27FC236}">
              <a16:creationId xmlns:a16="http://schemas.microsoft.com/office/drawing/2014/main" id="{3AE95A19-6FC3-43CF-AA71-B658C9616C42}"/>
            </a:ext>
          </a:extLst>
        </xdr:cNvPr>
        <xdr:cNvSpPr txBox="1">
          <a:spLocks noChangeArrowheads="1"/>
        </xdr:cNvSpPr>
      </xdr:nvSpPr>
      <xdr:spPr bwMode="auto">
        <a:xfrm>
          <a:off x="4257675" y="66313050"/>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73" name="Text Box 3">
          <a:extLst>
            <a:ext uri="{FF2B5EF4-FFF2-40B4-BE49-F238E27FC236}">
              <a16:creationId xmlns:a16="http://schemas.microsoft.com/office/drawing/2014/main" id="{D331BD59-4358-4A98-8317-528EE6EC9B77}"/>
            </a:ext>
          </a:extLst>
        </xdr:cNvPr>
        <xdr:cNvSpPr txBox="1">
          <a:spLocks noChangeArrowheads="1"/>
        </xdr:cNvSpPr>
      </xdr:nvSpPr>
      <xdr:spPr bwMode="auto">
        <a:xfrm>
          <a:off x="4257675" y="66313050"/>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74" name="Text Box 3">
          <a:extLst>
            <a:ext uri="{FF2B5EF4-FFF2-40B4-BE49-F238E27FC236}">
              <a16:creationId xmlns:a16="http://schemas.microsoft.com/office/drawing/2014/main" id="{03033171-E1D0-48E5-BBB7-C09A9885D951}"/>
            </a:ext>
          </a:extLst>
        </xdr:cNvPr>
        <xdr:cNvSpPr txBox="1">
          <a:spLocks noChangeArrowheads="1"/>
        </xdr:cNvSpPr>
      </xdr:nvSpPr>
      <xdr:spPr bwMode="auto">
        <a:xfrm>
          <a:off x="4257675" y="66313050"/>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75" name="Text Box 3">
          <a:extLst>
            <a:ext uri="{FF2B5EF4-FFF2-40B4-BE49-F238E27FC236}">
              <a16:creationId xmlns:a16="http://schemas.microsoft.com/office/drawing/2014/main" id="{D5B3D79E-1339-4187-8A98-BBF86AA527F3}"/>
            </a:ext>
          </a:extLst>
        </xdr:cNvPr>
        <xdr:cNvSpPr txBox="1">
          <a:spLocks noChangeArrowheads="1"/>
        </xdr:cNvSpPr>
      </xdr:nvSpPr>
      <xdr:spPr bwMode="auto">
        <a:xfrm>
          <a:off x="4257675" y="66313050"/>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76" name="Text Box 3">
          <a:extLst>
            <a:ext uri="{FF2B5EF4-FFF2-40B4-BE49-F238E27FC236}">
              <a16:creationId xmlns:a16="http://schemas.microsoft.com/office/drawing/2014/main" id="{51FB1D5C-6500-4017-A4E8-7CA1218CF5FD}"/>
            </a:ext>
          </a:extLst>
        </xdr:cNvPr>
        <xdr:cNvSpPr txBox="1">
          <a:spLocks noChangeArrowheads="1"/>
        </xdr:cNvSpPr>
      </xdr:nvSpPr>
      <xdr:spPr bwMode="auto">
        <a:xfrm>
          <a:off x="4257675" y="66313050"/>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77" name="Text Box 3">
          <a:extLst>
            <a:ext uri="{FF2B5EF4-FFF2-40B4-BE49-F238E27FC236}">
              <a16:creationId xmlns:a16="http://schemas.microsoft.com/office/drawing/2014/main" id="{895CB05D-3549-4A19-9BA8-C35B146735A5}"/>
            </a:ext>
          </a:extLst>
        </xdr:cNvPr>
        <xdr:cNvSpPr txBox="1">
          <a:spLocks noChangeArrowheads="1"/>
        </xdr:cNvSpPr>
      </xdr:nvSpPr>
      <xdr:spPr bwMode="auto">
        <a:xfrm>
          <a:off x="4257675" y="66313050"/>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78" name="Text Box 3">
          <a:extLst>
            <a:ext uri="{FF2B5EF4-FFF2-40B4-BE49-F238E27FC236}">
              <a16:creationId xmlns:a16="http://schemas.microsoft.com/office/drawing/2014/main" id="{32B0276C-DE0B-4BEC-8581-CD63E1A7425F}"/>
            </a:ext>
          </a:extLst>
        </xdr:cNvPr>
        <xdr:cNvSpPr txBox="1">
          <a:spLocks noChangeArrowheads="1"/>
        </xdr:cNvSpPr>
      </xdr:nvSpPr>
      <xdr:spPr bwMode="auto">
        <a:xfrm>
          <a:off x="4257675" y="66313050"/>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79" name="Text Box 3">
          <a:extLst>
            <a:ext uri="{FF2B5EF4-FFF2-40B4-BE49-F238E27FC236}">
              <a16:creationId xmlns:a16="http://schemas.microsoft.com/office/drawing/2014/main" id="{F38DC3E4-6082-40F5-94E3-794E9FF83122}"/>
            </a:ext>
          </a:extLst>
        </xdr:cNvPr>
        <xdr:cNvSpPr txBox="1">
          <a:spLocks noChangeArrowheads="1"/>
        </xdr:cNvSpPr>
      </xdr:nvSpPr>
      <xdr:spPr bwMode="auto">
        <a:xfrm>
          <a:off x="4257675" y="66313050"/>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80" name="Text Box 3">
          <a:extLst>
            <a:ext uri="{FF2B5EF4-FFF2-40B4-BE49-F238E27FC236}">
              <a16:creationId xmlns:a16="http://schemas.microsoft.com/office/drawing/2014/main" id="{29967ABC-E50F-4DA2-8C48-6FA3F5F3C689}"/>
            </a:ext>
          </a:extLst>
        </xdr:cNvPr>
        <xdr:cNvSpPr txBox="1">
          <a:spLocks noChangeArrowheads="1"/>
        </xdr:cNvSpPr>
      </xdr:nvSpPr>
      <xdr:spPr bwMode="auto">
        <a:xfrm>
          <a:off x="4257675" y="66313050"/>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81" name="Text Box 3">
          <a:extLst>
            <a:ext uri="{FF2B5EF4-FFF2-40B4-BE49-F238E27FC236}">
              <a16:creationId xmlns:a16="http://schemas.microsoft.com/office/drawing/2014/main" id="{5EDF5790-A5B6-4D7D-99BE-2EEB50964B75}"/>
            </a:ext>
          </a:extLst>
        </xdr:cNvPr>
        <xdr:cNvSpPr txBox="1">
          <a:spLocks noChangeArrowheads="1"/>
        </xdr:cNvSpPr>
      </xdr:nvSpPr>
      <xdr:spPr bwMode="auto">
        <a:xfrm>
          <a:off x="4257675" y="66313050"/>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82" name="Text Box 3">
          <a:extLst>
            <a:ext uri="{FF2B5EF4-FFF2-40B4-BE49-F238E27FC236}">
              <a16:creationId xmlns:a16="http://schemas.microsoft.com/office/drawing/2014/main" id="{03DB7C03-338B-401A-A0E6-1E99A537F070}"/>
            </a:ext>
          </a:extLst>
        </xdr:cNvPr>
        <xdr:cNvSpPr txBox="1">
          <a:spLocks noChangeArrowheads="1"/>
        </xdr:cNvSpPr>
      </xdr:nvSpPr>
      <xdr:spPr bwMode="auto">
        <a:xfrm>
          <a:off x="4257675" y="66313050"/>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83" name="Text Box 3">
          <a:extLst>
            <a:ext uri="{FF2B5EF4-FFF2-40B4-BE49-F238E27FC236}">
              <a16:creationId xmlns:a16="http://schemas.microsoft.com/office/drawing/2014/main" id="{9D04EB88-55A3-4E45-85D3-02409329C71D}"/>
            </a:ext>
          </a:extLst>
        </xdr:cNvPr>
        <xdr:cNvSpPr txBox="1">
          <a:spLocks noChangeArrowheads="1"/>
        </xdr:cNvSpPr>
      </xdr:nvSpPr>
      <xdr:spPr bwMode="auto">
        <a:xfrm>
          <a:off x="4257675" y="66313050"/>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84" name="Text Box 3">
          <a:extLst>
            <a:ext uri="{FF2B5EF4-FFF2-40B4-BE49-F238E27FC236}">
              <a16:creationId xmlns:a16="http://schemas.microsoft.com/office/drawing/2014/main" id="{CF832DA7-3ADC-42AD-BC8D-1958D0BFC04E}"/>
            </a:ext>
          </a:extLst>
        </xdr:cNvPr>
        <xdr:cNvSpPr txBox="1">
          <a:spLocks noChangeArrowheads="1"/>
        </xdr:cNvSpPr>
      </xdr:nvSpPr>
      <xdr:spPr bwMode="auto">
        <a:xfrm>
          <a:off x="4257675" y="66313050"/>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85" name="Text Box 3">
          <a:extLst>
            <a:ext uri="{FF2B5EF4-FFF2-40B4-BE49-F238E27FC236}">
              <a16:creationId xmlns:a16="http://schemas.microsoft.com/office/drawing/2014/main" id="{D263A613-A7D0-4AEA-A76B-92A5B92D31CE}"/>
            </a:ext>
          </a:extLst>
        </xdr:cNvPr>
        <xdr:cNvSpPr txBox="1">
          <a:spLocks noChangeArrowheads="1"/>
        </xdr:cNvSpPr>
      </xdr:nvSpPr>
      <xdr:spPr bwMode="auto">
        <a:xfrm>
          <a:off x="4257675" y="66313050"/>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86" name="Text Box 3">
          <a:extLst>
            <a:ext uri="{FF2B5EF4-FFF2-40B4-BE49-F238E27FC236}">
              <a16:creationId xmlns:a16="http://schemas.microsoft.com/office/drawing/2014/main" id="{EB9DDE61-D440-43FB-A7D7-99BD283D9F29}"/>
            </a:ext>
          </a:extLst>
        </xdr:cNvPr>
        <xdr:cNvSpPr txBox="1">
          <a:spLocks noChangeArrowheads="1"/>
        </xdr:cNvSpPr>
      </xdr:nvSpPr>
      <xdr:spPr bwMode="auto">
        <a:xfrm>
          <a:off x="4257675" y="66313050"/>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87" name="Text Box 3">
          <a:extLst>
            <a:ext uri="{FF2B5EF4-FFF2-40B4-BE49-F238E27FC236}">
              <a16:creationId xmlns:a16="http://schemas.microsoft.com/office/drawing/2014/main" id="{7DCF12CC-2210-4263-A4F7-D2364EE3A308}"/>
            </a:ext>
          </a:extLst>
        </xdr:cNvPr>
        <xdr:cNvSpPr txBox="1">
          <a:spLocks noChangeArrowheads="1"/>
        </xdr:cNvSpPr>
      </xdr:nvSpPr>
      <xdr:spPr bwMode="auto">
        <a:xfrm>
          <a:off x="4257675" y="66313050"/>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88" name="Text Box 3">
          <a:extLst>
            <a:ext uri="{FF2B5EF4-FFF2-40B4-BE49-F238E27FC236}">
              <a16:creationId xmlns:a16="http://schemas.microsoft.com/office/drawing/2014/main" id="{956F51AE-EF46-4C0B-AE67-BF997923CAB4}"/>
            </a:ext>
          </a:extLst>
        </xdr:cNvPr>
        <xdr:cNvSpPr txBox="1">
          <a:spLocks noChangeArrowheads="1"/>
        </xdr:cNvSpPr>
      </xdr:nvSpPr>
      <xdr:spPr bwMode="auto">
        <a:xfrm>
          <a:off x="4257675" y="66313050"/>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89" name="Text Box 3">
          <a:extLst>
            <a:ext uri="{FF2B5EF4-FFF2-40B4-BE49-F238E27FC236}">
              <a16:creationId xmlns:a16="http://schemas.microsoft.com/office/drawing/2014/main" id="{B5FCC21B-943F-4CA9-9F63-A17C623011A2}"/>
            </a:ext>
          </a:extLst>
        </xdr:cNvPr>
        <xdr:cNvSpPr txBox="1">
          <a:spLocks noChangeArrowheads="1"/>
        </xdr:cNvSpPr>
      </xdr:nvSpPr>
      <xdr:spPr bwMode="auto">
        <a:xfrm>
          <a:off x="4257675" y="66313050"/>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0" name="Text Box 3">
          <a:extLst>
            <a:ext uri="{FF2B5EF4-FFF2-40B4-BE49-F238E27FC236}">
              <a16:creationId xmlns:a16="http://schemas.microsoft.com/office/drawing/2014/main" id="{CC2FF582-34F2-4FD5-B4D7-F888DA572ADD}"/>
            </a:ext>
          </a:extLst>
        </xdr:cNvPr>
        <xdr:cNvSpPr txBox="1">
          <a:spLocks noChangeArrowheads="1"/>
        </xdr:cNvSpPr>
      </xdr:nvSpPr>
      <xdr:spPr bwMode="auto">
        <a:xfrm>
          <a:off x="4257675" y="66313050"/>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1" name="Text Box 3">
          <a:extLst>
            <a:ext uri="{FF2B5EF4-FFF2-40B4-BE49-F238E27FC236}">
              <a16:creationId xmlns:a16="http://schemas.microsoft.com/office/drawing/2014/main" id="{44A9F533-5A6D-4E65-8451-7A29A7CBAF38}"/>
            </a:ext>
          </a:extLst>
        </xdr:cNvPr>
        <xdr:cNvSpPr txBox="1">
          <a:spLocks noChangeArrowheads="1"/>
        </xdr:cNvSpPr>
      </xdr:nvSpPr>
      <xdr:spPr bwMode="auto">
        <a:xfrm>
          <a:off x="4257675" y="66313050"/>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2" name="Text Box 3">
          <a:extLst>
            <a:ext uri="{FF2B5EF4-FFF2-40B4-BE49-F238E27FC236}">
              <a16:creationId xmlns:a16="http://schemas.microsoft.com/office/drawing/2014/main" id="{8CF90C1D-145B-4D18-AFE6-A54A113A8F6B}"/>
            </a:ext>
          </a:extLst>
        </xdr:cNvPr>
        <xdr:cNvSpPr txBox="1">
          <a:spLocks noChangeArrowheads="1"/>
        </xdr:cNvSpPr>
      </xdr:nvSpPr>
      <xdr:spPr bwMode="auto">
        <a:xfrm>
          <a:off x="4257675" y="66313050"/>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3" name="Text Box 3">
          <a:extLst>
            <a:ext uri="{FF2B5EF4-FFF2-40B4-BE49-F238E27FC236}">
              <a16:creationId xmlns:a16="http://schemas.microsoft.com/office/drawing/2014/main" id="{DFB8BF69-9ED0-4882-8132-81D190F5F40E}"/>
            </a:ext>
          </a:extLst>
        </xdr:cNvPr>
        <xdr:cNvSpPr txBox="1">
          <a:spLocks noChangeArrowheads="1"/>
        </xdr:cNvSpPr>
      </xdr:nvSpPr>
      <xdr:spPr bwMode="auto">
        <a:xfrm>
          <a:off x="4257675" y="66313050"/>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4" name="Text Box 3">
          <a:extLst>
            <a:ext uri="{FF2B5EF4-FFF2-40B4-BE49-F238E27FC236}">
              <a16:creationId xmlns:a16="http://schemas.microsoft.com/office/drawing/2014/main" id="{A22ED262-E898-4314-B968-D5DE52660488}"/>
            </a:ext>
          </a:extLst>
        </xdr:cNvPr>
        <xdr:cNvSpPr txBox="1">
          <a:spLocks noChangeArrowheads="1"/>
        </xdr:cNvSpPr>
      </xdr:nvSpPr>
      <xdr:spPr bwMode="auto">
        <a:xfrm>
          <a:off x="4257675" y="66313050"/>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5" name="Text Box 3">
          <a:extLst>
            <a:ext uri="{FF2B5EF4-FFF2-40B4-BE49-F238E27FC236}">
              <a16:creationId xmlns:a16="http://schemas.microsoft.com/office/drawing/2014/main" id="{5F8D1E29-2775-45C7-BFF2-2A8CA951C164}"/>
            </a:ext>
          </a:extLst>
        </xdr:cNvPr>
        <xdr:cNvSpPr txBox="1">
          <a:spLocks noChangeArrowheads="1"/>
        </xdr:cNvSpPr>
      </xdr:nvSpPr>
      <xdr:spPr bwMode="auto">
        <a:xfrm>
          <a:off x="4257675" y="66313050"/>
          <a:ext cx="76200" cy="200025"/>
        </a:xfrm>
        <a:prstGeom prst="rect">
          <a:avLst/>
        </a:prstGeom>
        <a:noFill/>
        <a:ln w="9525">
          <a:noFill/>
          <a:miter lim="800000"/>
          <a:headEnd/>
          <a:tailEnd/>
        </a:ln>
      </xdr:spPr>
    </xdr:sp>
    <xdr:clientData/>
  </xdr:oneCellAnchor>
  <xdr:oneCellAnchor>
    <xdr:from>
      <xdr:col>6</xdr:col>
      <xdr:colOff>590550</xdr:colOff>
      <xdr:row>404</xdr:row>
      <xdr:rowOff>0</xdr:rowOff>
    </xdr:from>
    <xdr:ext cx="76200" cy="200025"/>
    <xdr:sp macro="" textlink="">
      <xdr:nvSpPr>
        <xdr:cNvPr id="196" name="Text Box 3">
          <a:extLst>
            <a:ext uri="{FF2B5EF4-FFF2-40B4-BE49-F238E27FC236}">
              <a16:creationId xmlns:a16="http://schemas.microsoft.com/office/drawing/2014/main" id="{8176EF09-78C0-444B-91CA-98D93BA74A36}"/>
            </a:ext>
          </a:extLst>
        </xdr:cNvPr>
        <xdr:cNvSpPr txBox="1">
          <a:spLocks noChangeArrowheads="1"/>
        </xdr:cNvSpPr>
      </xdr:nvSpPr>
      <xdr:spPr bwMode="auto">
        <a:xfrm>
          <a:off x="4257675" y="66675000"/>
          <a:ext cx="76200" cy="200025"/>
        </a:xfrm>
        <a:prstGeom prst="rect">
          <a:avLst/>
        </a:prstGeom>
        <a:noFill/>
        <a:ln w="9525">
          <a:noFill/>
          <a:miter lim="800000"/>
          <a:headEnd/>
          <a:tailEnd/>
        </a:ln>
      </xdr:spPr>
    </xdr:sp>
    <xdr:clientData/>
  </xdr:oneCellAnchor>
  <xdr:oneCellAnchor>
    <xdr:from>
      <xdr:col>0</xdr:col>
      <xdr:colOff>0</xdr:colOff>
      <xdr:row>404</xdr:row>
      <xdr:rowOff>0</xdr:rowOff>
    </xdr:from>
    <xdr:ext cx="28575" cy="104775"/>
    <xdr:sp macro="" textlink="">
      <xdr:nvSpPr>
        <xdr:cNvPr id="197" name="Text Box 4">
          <a:extLst>
            <a:ext uri="{FF2B5EF4-FFF2-40B4-BE49-F238E27FC236}">
              <a16:creationId xmlns:a16="http://schemas.microsoft.com/office/drawing/2014/main" id="{CE33631F-D1A2-4704-809E-75A5A1D5D118}"/>
            </a:ext>
          </a:extLst>
        </xdr:cNvPr>
        <xdr:cNvSpPr txBox="1">
          <a:spLocks noChangeArrowheads="1"/>
        </xdr:cNvSpPr>
      </xdr:nvSpPr>
      <xdr:spPr bwMode="auto">
        <a:xfrm>
          <a:off x="0" y="66675000"/>
          <a:ext cx="28575" cy="104775"/>
        </a:xfrm>
        <a:prstGeom prst="rect">
          <a:avLst/>
        </a:prstGeom>
        <a:noFill/>
        <a:ln w="9525">
          <a:noFill/>
          <a:miter lim="800000"/>
          <a:headEnd/>
          <a:tailEnd/>
        </a:ln>
      </xdr:spPr>
    </xdr:sp>
    <xdr:clientData/>
  </xdr:oneCellAnchor>
  <xdr:oneCellAnchor>
    <xdr:from>
      <xdr:col>6</xdr:col>
      <xdr:colOff>590550</xdr:colOff>
      <xdr:row>403</xdr:row>
      <xdr:rowOff>0</xdr:rowOff>
    </xdr:from>
    <xdr:ext cx="76200" cy="196850"/>
    <xdr:sp macro="" textlink="">
      <xdr:nvSpPr>
        <xdr:cNvPr id="198" name="Text Box 3">
          <a:extLst>
            <a:ext uri="{FF2B5EF4-FFF2-40B4-BE49-F238E27FC236}">
              <a16:creationId xmlns:a16="http://schemas.microsoft.com/office/drawing/2014/main" id="{576A4705-9BC5-4E8C-A144-FEF0745969CB}"/>
            </a:ext>
          </a:extLst>
        </xdr:cNvPr>
        <xdr:cNvSpPr txBox="1">
          <a:spLocks noChangeArrowheads="1"/>
        </xdr:cNvSpPr>
      </xdr:nvSpPr>
      <xdr:spPr bwMode="auto">
        <a:xfrm>
          <a:off x="4257675" y="66474975"/>
          <a:ext cx="76200" cy="196850"/>
        </a:xfrm>
        <a:prstGeom prst="rect">
          <a:avLst/>
        </a:prstGeom>
        <a:noFill/>
        <a:ln w="9525">
          <a:noFill/>
          <a:miter lim="800000"/>
          <a:headEnd/>
          <a:tailEnd/>
        </a:ln>
      </xdr:spPr>
    </xdr:sp>
    <xdr:clientData/>
  </xdr:oneCellAnchor>
  <xdr:oneCellAnchor>
    <xdr:from>
      <xdr:col>0</xdr:col>
      <xdr:colOff>0</xdr:colOff>
      <xdr:row>403</xdr:row>
      <xdr:rowOff>0</xdr:rowOff>
    </xdr:from>
    <xdr:ext cx="28575" cy="104775"/>
    <xdr:sp macro="" textlink="">
      <xdr:nvSpPr>
        <xdr:cNvPr id="199" name="Text Box 4">
          <a:extLst>
            <a:ext uri="{FF2B5EF4-FFF2-40B4-BE49-F238E27FC236}">
              <a16:creationId xmlns:a16="http://schemas.microsoft.com/office/drawing/2014/main" id="{EED32602-D33A-4522-84E6-53253B14DA41}"/>
            </a:ext>
          </a:extLst>
        </xdr:cNvPr>
        <xdr:cNvSpPr txBox="1">
          <a:spLocks noChangeArrowheads="1"/>
        </xdr:cNvSpPr>
      </xdr:nvSpPr>
      <xdr:spPr bwMode="auto">
        <a:xfrm>
          <a:off x="0" y="66474975"/>
          <a:ext cx="28575" cy="10477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00" name="Text Box 3">
          <a:extLst>
            <a:ext uri="{FF2B5EF4-FFF2-40B4-BE49-F238E27FC236}">
              <a16:creationId xmlns:a16="http://schemas.microsoft.com/office/drawing/2014/main" id="{F6FB90E1-389D-4E17-940D-47C3D7E60052}"/>
            </a:ext>
          </a:extLst>
        </xdr:cNvPr>
        <xdr:cNvSpPr txBox="1">
          <a:spLocks noChangeArrowheads="1"/>
        </xdr:cNvSpPr>
      </xdr:nvSpPr>
      <xdr:spPr bwMode="auto">
        <a:xfrm>
          <a:off x="4257675" y="75885675"/>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01" name="Text Box 3">
          <a:extLst>
            <a:ext uri="{FF2B5EF4-FFF2-40B4-BE49-F238E27FC236}">
              <a16:creationId xmlns:a16="http://schemas.microsoft.com/office/drawing/2014/main" id="{2E543E5E-A407-4BA0-98DB-DB18EDB88CE8}"/>
            </a:ext>
          </a:extLst>
        </xdr:cNvPr>
        <xdr:cNvSpPr txBox="1">
          <a:spLocks noChangeArrowheads="1"/>
        </xdr:cNvSpPr>
      </xdr:nvSpPr>
      <xdr:spPr bwMode="auto">
        <a:xfrm>
          <a:off x="4257675" y="75885675"/>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02" name="Text Box 3">
          <a:extLst>
            <a:ext uri="{FF2B5EF4-FFF2-40B4-BE49-F238E27FC236}">
              <a16:creationId xmlns:a16="http://schemas.microsoft.com/office/drawing/2014/main" id="{827B8544-F3E8-4065-84EE-ED9358FAA1F9}"/>
            </a:ext>
          </a:extLst>
        </xdr:cNvPr>
        <xdr:cNvSpPr txBox="1">
          <a:spLocks noChangeArrowheads="1"/>
        </xdr:cNvSpPr>
      </xdr:nvSpPr>
      <xdr:spPr bwMode="auto">
        <a:xfrm>
          <a:off x="4257675" y="75885675"/>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03" name="Text Box 3">
          <a:extLst>
            <a:ext uri="{FF2B5EF4-FFF2-40B4-BE49-F238E27FC236}">
              <a16:creationId xmlns:a16="http://schemas.microsoft.com/office/drawing/2014/main" id="{46F9B6E9-855C-4AA2-BE33-A39A0DEF127C}"/>
            </a:ext>
          </a:extLst>
        </xdr:cNvPr>
        <xdr:cNvSpPr txBox="1">
          <a:spLocks noChangeArrowheads="1"/>
        </xdr:cNvSpPr>
      </xdr:nvSpPr>
      <xdr:spPr bwMode="auto">
        <a:xfrm>
          <a:off x="4257675" y="75885675"/>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04" name="Text Box 3">
          <a:extLst>
            <a:ext uri="{FF2B5EF4-FFF2-40B4-BE49-F238E27FC236}">
              <a16:creationId xmlns:a16="http://schemas.microsoft.com/office/drawing/2014/main" id="{823BBC26-7605-4C19-AA7D-493605B42818}"/>
            </a:ext>
          </a:extLst>
        </xdr:cNvPr>
        <xdr:cNvSpPr txBox="1">
          <a:spLocks noChangeArrowheads="1"/>
        </xdr:cNvSpPr>
      </xdr:nvSpPr>
      <xdr:spPr bwMode="auto">
        <a:xfrm>
          <a:off x="4257675" y="75885675"/>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05" name="Text Box 3">
          <a:extLst>
            <a:ext uri="{FF2B5EF4-FFF2-40B4-BE49-F238E27FC236}">
              <a16:creationId xmlns:a16="http://schemas.microsoft.com/office/drawing/2014/main" id="{3B683BE6-97AF-4710-85A0-2A932E2D4739}"/>
            </a:ext>
          </a:extLst>
        </xdr:cNvPr>
        <xdr:cNvSpPr txBox="1">
          <a:spLocks noChangeArrowheads="1"/>
        </xdr:cNvSpPr>
      </xdr:nvSpPr>
      <xdr:spPr bwMode="auto">
        <a:xfrm>
          <a:off x="4257675" y="75885675"/>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06" name="Text Box 3">
          <a:extLst>
            <a:ext uri="{FF2B5EF4-FFF2-40B4-BE49-F238E27FC236}">
              <a16:creationId xmlns:a16="http://schemas.microsoft.com/office/drawing/2014/main" id="{2735594F-945A-4293-B200-3672BF5B419B}"/>
            </a:ext>
          </a:extLst>
        </xdr:cNvPr>
        <xdr:cNvSpPr txBox="1">
          <a:spLocks noChangeArrowheads="1"/>
        </xdr:cNvSpPr>
      </xdr:nvSpPr>
      <xdr:spPr bwMode="auto">
        <a:xfrm>
          <a:off x="4257675" y="75885675"/>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07" name="Text Box 3">
          <a:extLst>
            <a:ext uri="{FF2B5EF4-FFF2-40B4-BE49-F238E27FC236}">
              <a16:creationId xmlns:a16="http://schemas.microsoft.com/office/drawing/2014/main" id="{2529E18D-831E-466A-8446-F0942D6473AB}"/>
            </a:ext>
          </a:extLst>
        </xdr:cNvPr>
        <xdr:cNvSpPr txBox="1">
          <a:spLocks noChangeArrowheads="1"/>
        </xdr:cNvSpPr>
      </xdr:nvSpPr>
      <xdr:spPr bwMode="auto">
        <a:xfrm>
          <a:off x="4257675" y="75885675"/>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08" name="Text Box 3">
          <a:extLst>
            <a:ext uri="{FF2B5EF4-FFF2-40B4-BE49-F238E27FC236}">
              <a16:creationId xmlns:a16="http://schemas.microsoft.com/office/drawing/2014/main" id="{D66B57C9-5484-4F9D-9D9D-2ED86B56EAAC}"/>
            </a:ext>
          </a:extLst>
        </xdr:cNvPr>
        <xdr:cNvSpPr txBox="1">
          <a:spLocks noChangeArrowheads="1"/>
        </xdr:cNvSpPr>
      </xdr:nvSpPr>
      <xdr:spPr bwMode="auto">
        <a:xfrm>
          <a:off x="4257675" y="75885675"/>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09" name="Text Box 3">
          <a:extLst>
            <a:ext uri="{FF2B5EF4-FFF2-40B4-BE49-F238E27FC236}">
              <a16:creationId xmlns:a16="http://schemas.microsoft.com/office/drawing/2014/main" id="{E698E5AE-ED13-4CA0-B091-88E7B4E3DA83}"/>
            </a:ext>
          </a:extLst>
        </xdr:cNvPr>
        <xdr:cNvSpPr txBox="1">
          <a:spLocks noChangeArrowheads="1"/>
        </xdr:cNvSpPr>
      </xdr:nvSpPr>
      <xdr:spPr bwMode="auto">
        <a:xfrm>
          <a:off x="4257675" y="75885675"/>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10" name="Text Box 3">
          <a:extLst>
            <a:ext uri="{FF2B5EF4-FFF2-40B4-BE49-F238E27FC236}">
              <a16:creationId xmlns:a16="http://schemas.microsoft.com/office/drawing/2014/main" id="{D5C6627F-15E4-4843-BEEA-C625DFADC528}"/>
            </a:ext>
          </a:extLst>
        </xdr:cNvPr>
        <xdr:cNvSpPr txBox="1">
          <a:spLocks noChangeArrowheads="1"/>
        </xdr:cNvSpPr>
      </xdr:nvSpPr>
      <xdr:spPr bwMode="auto">
        <a:xfrm>
          <a:off x="4257675" y="75885675"/>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11" name="Text Box 3">
          <a:extLst>
            <a:ext uri="{FF2B5EF4-FFF2-40B4-BE49-F238E27FC236}">
              <a16:creationId xmlns:a16="http://schemas.microsoft.com/office/drawing/2014/main" id="{C8E8EFB1-F8EC-4481-9671-C41E231A2367}"/>
            </a:ext>
          </a:extLst>
        </xdr:cNvPr>
        <xdr:cNvSpPr txBox="1">
          <a:spLocks noChangeArrowheads="1"/>
        </xdr:cNvSpPr>
      </xdr:nvSpPr>
      <xdr:spPr bwMode="auto">
        <a:xfrm>
          <a:off x="4257675" y="75885675"/>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12" name="Text Box 3">
          <a:extLst>
            <a:ext uri="{FF2B5EF4-FFF2-40B4-BE49-F238E27FC236}">
              <a16:creationId xmlns:a16="http://schemas.microsoft.com/office/drawing/2014/main" id="{71220F31-5D55-4E87-91C7-65DB2D276A2A}"/>
            </a:ext>
          </a:extLst>
        </xdr:cNvPr>
        <xdr:cNvSpPr txBox="1">
          <a:spLocks noChangeArrowheads="1"/>
        </xdr:cNvSpPr>
      </xdr:nvSpPr>
      <xdr:spPr bwMode="auto">
        <a:xfrm>
          <a:off x="4257675" y="75885675"/>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13" name="Text Box 3">
          <a:extLst>
            <a:ext uri="{FF2B5EF4-FFF2-40B4-BE49-F238E27FC236}">
              <a16:creationId xmlns:a16="http://schemas.microsoft.com/office/drawing/2014/main" id="{675FF05E-6F4A-4754-95CE-EA8A74B0D58A}"/>
            </a:ext>
          </a:extLst>
        </xdr:cNvPr>
        <xdr:cNvSpPr txBox="1">
          <a:spLocks noChangeArrowheads="1"/>
        </xdr:cNvSpPr>
      </xdr:nvSpPr>
      <xdr:spPr bwMode="auto">
        <a:xfrm>
          <a:off x="4257675" y="75885675"/>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14" name="Text Box 3">
          <a:extLst>
            <a:ext uri="{FF2B5EF4-FFF2-40B4-BE49-F238E27FC236}">
              <a16:creationId xmlns:a16="http://schemas.microsoft.com/office/drawing/2014/main" id="{7DE0794D-A8D0-4C2A-AB73-6AFC921AA3F8}"/>
            </a:ext>
          </a:extLst>
        </xdr:cNvPr>
        <xdr:cNvSpPr txBox="1">
          <a:spLocks noChangeArrowheads="1"/>
        </xdr:cNvSpPr>
      </xdr:nvSpPr>
      <xdr:spPr bwMode="auto">
        <a:xfrm>
          <a:off x="4257675" y="75885675"/>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15" name="Text Box 3">
          <a:extLst>
            <a:ext uri="{FF2B5EF4-FFF2-40B4-BE49-F238E27FC236}">
              <a16:creationId xmlns:a16="http://schemas.microsoft.com/office/drawing/2014/main" id="{8A25BDB2-3318-489F-AE76-AB4655FDFA7A}"/>
            </a:ext>
          </a:extLst>
        </xdr:cNvPr>
        <xdr:cNvSpPr txBox="1">
          <a:spLocks noChangeArrowheads="1"/>
        </xdr:cNvSpPr>
      </xdr:nvSpPr>
      <xdr:spPr bwMode="auto">
        <a:xfrm>
          <a:off x="4257675" y="75885675"/>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16" name="Text Box 3">
          <a:extLst>
            <a:ext uri="{FF2B5EF4-FFF2-40B4-BE49-F238E27FC236}">
              <a16:creationId xmlns:a16="http://schemas.microsoft.com/office/drawing/2014/main" id="{95A5FD6A-CE2D-4B3A-8633-3BF9EF9EA157}"/>
            </a:ext>
          </a:extLst>
        </xdr:cNvPr>
        <xdr:cNvSpPr txBox="1">
          <a:spLocks noChangeArrowheads="1"/>
        </xdr:cNvSpPr>
      </xdr:nvSpPr>
      <xdr:spPr bwMode="auto">
        <a:xfrm>
          <a:off x="4257675" y="75885675"/>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17" name="Text Box 3">
          <a:extLst>
            <a:ext uri="{FF2B5EF4-FFF2-40B4-BE49-F238E27FC236}">
              <a16:creationId xmlns:a16="http://schemas.microsoft.com/office/drawing/2014/main" id="{7C0B7845-CFFC-4051-8832-E24C2691819D}"/>
            </a:ext>
          </a:extLst>
        </xdr:cNvPr>
        <xdr:cNvSpPr txBox="1">
          <a:spLocks noChangeArrowheads="1"/>
        </xdr:cNvSpPr>
      </xdr:nvSpPr>
      <xdr:spPr bwMode="auto">
        <a:xfrm>
          <a:off x="4257675" y="75885675"/>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18" name="Text Box 3">
          <a:extLst>
            <a:ext uri="{FF2B5EF4-FFF2-40B4-BE49-F238E27FC236}">
              <a16:creationId xmlns:a16="http://schemas.microsoft.com/office/drawing/2014/main" id="{E5B6CF67-D956-4BFF-A3A6-3CB9EF136E09}"/>
            </a:ext>
          </a:extLst>
        </xdr:cNvPr>
        <xdr:cNvSpPr txBox="1">
          <a:spLocks noChangeArrowheads="1"/>
        </xdr:cNvSpPr>
      </xdr:nvSpPr>
      <xdr:spPr bwMode="auto">
        <a:xfrm>
          <a:off x="4257675" y="75885675"/>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19" name="Text Box 3">
          <a:extLst>
            <a:ext uri="{FF2B5EF4-FFF2-40B4-BE49-F238E27FC236}">
              <a16:creationId xmlns:a16="http://schemas.microsoft.com/office/drawing/2014/main" id="{F22B8D3B-4D52-4636-8EE5-05DA2A7FDA9A}"/>
            </a:ext>
          </a:extLst>
        </xdr:cNvPr>
        <xdr:cNvSpPr txBox="1">
          <a:spLocks noChangeArrowheads="1"/>
        </xdr:cNvSpPr>
      </xdr:nvSpPr>
      <xdr:spPr bwMode="auto">
        <a:xfrm>
          <a:off x="4257675" y="75885675"/>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20" name="Text Box 3">
          <a:extLst>
            <a:ext uri="{FF2B5EF4-FFF2-40B4-BE49-F238E27FC236}">
              <a16:creationId xmlns:a16="http://schemas.microsoft.com/office/drawing/2014/main" id="{B3B12B1B-555B-4BA2-B2A0-7B46C87CD694}"/>
            </a:ext>
          </a:extLst>
        </xdr:cNvPr>
        <xdr:cNvSpPr txBox="1">
          <a:spLocks noChangeArrowheads="1"/>
        </xdr:cNvSpPr>
      </xdr:nvSpPr>
      <xdr:spPr bwMode="auto">
        <a:xfrm>
          <a:off x="4257675" y="75885675"/>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21" name="Text Box 3">
          <a:extLst>
            <a:ext uri="{FF2B5EF4-FFF2-40B4-BE49-F238E27FC236}">
              <a16:creationId xmlns:a16="http://schemas.microsoft.com/office/drawing/2014/main" id="{E449A22C-4431-4981-A105-DD4113B320DC}"/>
            </a:ext>
          </a:extLst>
        </xdr:cNvPr>
        <xdr:cNvSpPr txBox="1">
          <a:spLocks noChangeArrowheads="1"/>
        </xdr:cNvSpPr>
      </xdr:nvSpPr>
      <xdr:spPr bwMode="auto">
        <a:xfrm>
          <a:off x="4257675" y="75885675"/>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22" name="Text Box 3">
          <a:extLst>
            <a:ext uri="{FF2B5EF4-FFF2-40B4-BE49-F238E27FC236}">
              <a16:creationId xmlns:a16="http://schemas.microsoft.com/office/drawing/2014/main" id="{FDE457E1-2538-4D6D-9F64-0FCC8AF38DCA}"/>
            </a:ext>
          </a:extLst>
        </xdr:cNvPr>
        <xdr:cNvSpPr txBox="1">
          <a:spLocks noChangeArrowheads="1"/>
        </xdr:cNvSpPr>
      </xdr:nvSpPr>
      <xdr:spPr bwMode="auto">
        <a:xfrm>
          <a:off x="4257675" y="75885675"/>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23" name="Text Box 3">
          <a:extLst>
            <a:ext uri="{FF2B5EF4-FFF2-40B4-BE49-F238E27FC236}">
              <a16:creationId xmlns:a16="http://schemas.microsoft.com/office/drawing/2014/main" id="{AFC3528A-7E2B-41DC-949C-F1B6F54D3E40}"/>
            </a:ext>
          </a:extLst>
        </xdr:cNvPr>
        <xdr:cNvSpPr txBox="1">
          <a:spLocks noChangeArrowheads="1"/>
        </xdr:cNvSpPr>
      </xdr:nvSpPr>
      <xdr:spPr bwMode="auto">
        <a:xfrm>
          <a:off x="4257675" y="75885675"/>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24" name="Text Box 3">
          <a:extLst>
            <a:ext uri="{FF2B5EF4-FFF2-40B4-BE49-F238E27FC236}">
              <a16:creationId xmlns:a16="http://schemas.microsoft.com/office/drawing/2014/main" id="{47AD6384-FDE3-43FE-9E3D-83E1BDA75154}"/>
            </a:ext>
          </a:extLst>
        </xdr:cNvPr>
        <xdr:cNvSpPr txBox="1">
          <a:spLocks noChangeArrowheads="1"/>
        </xdr:cNvSpPr>
      </xdr:nvSpPr>
      <xdr:spPr bwMode="auto">
        <a:xfrm>
          <a:off x="4257675" y="75885675"/>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25" name="Text Box 3">
          <a:extLst>
            <a:ext uri="{FF2B5EF4-FFF2-40B4-BE49-F238E27FC236}">
              <a16:creationId xmlns:a16="http://schemas.microsoft.com/office/drawing/2014/main" id="{92AFF590-EADB-4197-974E-BEF7E88045B1}"/>
            </a:ext>
          </a:extLst>
        </xdr:cNvPr>
        <xdr:cNvSpPr txBox="1">
          <a:spLocks noChangeArrowheads="1"/>
        </xdr:cNvSpPr>
      </xdr:nvSpPr>
      <xdr:spPr bwMode="auto">
        <a:xfrm>
          <a:off x="4257675" y="75885675"/>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26" name="Text Box 3">
          <a:extLst>
            <a:ext uri="{FF2B5EF4-FFF2-40B4-BE49-F238E27FC236}">
              <a16:creationId xmlns:a16="http://schemas.microsoft.com/office/drawing/2014/main" id="{8F3B825C-865A-4C77-8A21-5EB542F0765A}"/>
            </a:ext>
          </a:extLst>
        </xdr:cNvPr>
        <xdr:cNvSpPr txBox="1">
          <a:spLocks noChangeArrowheads="1"/>
        </xdr:cNvSpPr>
      </xdr:nvSpPr>
      <xdr:spPr bwMode="auto">
        <a:xfrm>
          <a:off x="4257675" y="75885675"/>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27" name="Text Box 3">
          <a:extLst>
            <a:ext uri="{FF2B5EF4-FFF2-40B4-BE49-F238E27FC236}">
              <a16:creationId xmlns:a16="http://schemas.microsoft.com/office/drawing/2014/main" id="{27731D9D-9C83-463B-8BA9-38E5E3A1B6DB}"/>
            </a:ext>
          </a:extLst>
        </xdr:cNvPr>
        <xdr:cNvSpPr txBox="1">
          <a:spLocks noChangeArrowheads="1"/>
        </xdr:cNvSpPr>
      </xdr:nvSpPr>
      <xdr:spPr bwMode="auto">
        <a:xfrm>
          <a:off x="4257675" y="75885675"/>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28" name="Text Box 3">
          <a:extLst>
            <a:ext uri="{FF2B5EF4-FFF2-40B4-BE49-F238E27FC236}">
              <a16:creationId xmlns:a16="http://schemas.microsoft.com/office/drawing/2014/main" id="{37636B0B-BD4F-46BA-9AF5-96607BB438CC}"/>
            </a:ext>
          </a:extLst>
        </xdr:cNvPr>
        <xdr:cNvSpPr txBox="1">
          <a:spLocks noChangeArrowheads="1"/>
        </xdr:cNvSpPr>
      </xdr:nvSpPr>
      <xdr:spPr bwMode="auto">
        <a:xfrm>
          <a:off x="4257675" y="75885675"/>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29" name="Text Box 3">
          <a:extLst>
            <a:ext uri="{FF2B5EF4-FFF2-40B4-BE49-F238E27FC236}">
              <a16:creationId xmlns:a16="http://schemas.microsoft.com/office/drawing/2014/main" id="{DD19889A-4F83-4C00-AC8A-D6B6E8797D73}"/>
            </a:ext>
          </a:extLst>
        </xdr:cNvPr>
        <xdr:cNvSpPr txBox="1">
          <a:spLocks noChangeArrowheads="1"/>
        </xdr:cNvSpPr>
      </xdr:nvSpPr>
      <xdr:spPr bwMode="auto">
        <a:xfrm>
          <a:off x="4257675" y="75885675"/>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0" name="Text Box 3">
          <a:extLst>
            <a:ext uri="{FF2B5EF4-FFF2-40B4-BE49-F238E27FC236}">
              <a16:creationId xmlns:a16="http://schemas.microsoft.com/office/drawing/2014/main" id="{CA7FCA0D-C9F9-4D2D-B3EC-D375566BDD02}"/>
            </a:ext>
          </a:extLst>
        </xdr:cNvPr>
        <xdr:cNvSpPr txBox="1">
          <a:spLocks noChangeArrowheads="1"/>
        </xdr:cNvSpPr>
      </xdr:nvSpPr>
      <xdr:spPr bwMode="auto">
        <a:xfrm>
          <a:off x="4257675" y="75885675"/>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31" name="Text Box 3">
          <a:extLst>
            <a:ext uri="{FF2B5EF4-FFF2-40B4-BE49-F238E27FC236}">
              <a16:creationId xmlns:a16="http://schemas.microsoft.com/office/drawing/2014/main" id="{E8DC97F0-53A8-4AD8-8A96-5BCFC47AA285}"/>
            </a:ext>
          </a:extLst>
        </xdr:cNvPr>
        <xdr:cNvSpPr txBox="1">
          <a:spLocks noChangeArrowheads="1"/>
        </xdr:cNvSpPr>
      </xdr:nvSpPr>
      <xdr:spPr bwMode="auto">
        <a:xfrm>
          <a:off x="4257675" y="75885675"/>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2" name="Text Box 3">
          <a:extLst>
            <a:ext uri="{FF2B5EF4-FFF2-40B4-BE49-F238E27FC236}">
              <a16:creationId xmlns:a16="http://schemas.microsoft.com/office/drawing/2014/main" id="{5D81F2EA-178A-48A8-AA52-C061C7D36220}"/>
            </a:ext>
          </a:extLst>
        </xdr:cNvPr>
        <xdr:cNvSpPr txBox="1">
          <a:spLocks noChangeArrowheads="1"/>
        </xdr:cNvSpPr>
      </xdr:nvSpPr>
      <xdr:spPr bwMode="auto">
        <a:xfrm>
          <a:off x="4257675" y="75885675"/>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3" name="Text Box 3">
          <a:extLst>
            <a:ext uri="{FF2B5EF4-FFF2-40B4-BE49-F238E27FC236}">
              <a16:creationId xmlns:a16="http://schemas.microsoft.com/office/drawing/2014/main" id="{DDBEB1A8-81CD-4186-9F91-4F36D0F1B581}"/>
            </a:ext>
          </a:extLst>
        </xdr:cNvPr>
        <xdr:cNvSpPr txBox="1">
          <a:spLocks noChangeArrowheads="1"/>
        </xdr:cNvSpPr>
      </xdr:nvSpPr>
      <xdr:spPr bwMode="auto">
        <a:xfrm>
          <a:off x="4257675" y="75885675"/>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4" name="Text Box 3">
          <a:extLst>
            <a:ext uri="{FF2B5EF4-FFF2-40B4-BE49-F238E27FC236}">
              <a16:creationId xmlns:a16="http://schemas.microsoft.com/office/drawing/2014/main" id="{2497A562-80A4-41B6-8F8E-02A1B638A7B3}"/>
            </a:ext>
          </a:extLst>
        </xdr:cNvPr>
        <xdr:cNvSpPr txBox="1">
          <a:spLocks noChangeArrowheads="1"/>
        </xdr:cNvSpPr>
      </xdr:nvSpPr>
      <xdr:spPr bwMode="auto">
        <a:xfrm>
          <a:off x="4257675" y="75885675"/>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5" name="Text Box 3">
          <a:extLst>
            <a:ext uri="{FF2B5EF4-FFF2-40B4-BE49-F238E27FC236}">
              <a16:creationId xmlns:a16="http://schemas.microsoft.com/office/drawing/2014/main" id="{64D533B0-C8CE-487A-9320-10300EC0B3D7}"/>
            </a:ext>
          </a:extLst>
        </xdr:cNvPr>
        <xdr:cNvSpPr txBox="1">
          <a:spLocks noChangeArrowheads="1"/>
        </xdr:cNvSpPr>
      </xdr:nvSpPr>
      <xdr:spPr bwMode="auto">
        <a:xfrm>
          <a:off x="4257675" y="75885675"/>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6" name="Text Box 3">
          <a:extLst>
            <a:ext uri="{FF2B5EF4-FFF2-40B4-BE49-F238E27FC236}">
              <a16:creationId xmlns:a16="http://schemas.microsoft.com/office/drawing/2014/main" id="{971E75BD-5B76-4914-98E7-737C8138A1FA}"/>
            </a:ext>
          </a:extLst>
        </xdr:cNvPr>
        <xdr:cNvSpPr txBox="1">
          <a:spLocks noChangeArrowheads="1"/>
        </xdr:cNvSpPr>
      </xdr:nvSpPr>
      <xdr:spPr bwMode="auto">
        <a:xfrm>
          <a:off x="4257675" y="75885675"/>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37" name="Text Box 3">
          <a:extLst>
            <a:ext uri="{FF2B5EF4-FFF2-40B4-BE49-F238E27FC236}">
              <a16:creationId xmlns:a16="http://schemas.microsoft.com/office/drawing/2014/main" id="{F6D1BBDB-C30C-4843-A767-BB13A2ADE672}"/>
            </a:ext>
          </a:extLst>
        </xdr:cNvPr>
        <xdr:cNvSpPr txBox="1">
          <a:spLocks noChangeArrowheads="1"/>
        </xdr:cNvSpPr>
      </xdr:nvSpPr>
      <xdr:spPr bwMode="auto">
        <a:xfrm>
          <a:off x="4257675" y="75885675"/>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8" name="Text Box 3">
          <a:extLst>
            <a:ext uri="{FF2B5EF4-FFF2-40B4-BE49-F238E27FC236}">
              <a16:creationId xmlns:a16="http://schemas.microsoft.com/office/drawing/2014/main" id="{37291B0D-FF78-4B2C-B586-E87A3DA6CADF}"/>
            </a:ext>
          </a:extLst>
        </xdr:cNvPr>
        <xdr:cNvSpPr txBox="1">
          <a:spLocks noChangeArrowheads="1"/>
        </xdr:cNvSpPr>
      </xdr:nvSpPr>
      <xdr:spPr bwMode="auto">
        <a:xfrm>
          <a:off x="4257675" y="75885675"/>
          <a:ext cx="76200" cy="200025"/>
        </a:xfrm>
        <a:prstGeom prst="rect">
          <a:avLst/>
        </a:prstGeom>
        <a:noFill/>
        <a:ln w="9525">
          <a:noFill/>
          <a:miter lim="800000"/>
          <a:headEnd/>
          <a:tailEnd/>
        </a:ln>
      </xdr:spPr>
    </xdr:sp>
    <xdr:clientData/>
  </xdr:oneCellAnchor>
  <xdr:oneCellAnchor>
    <xdr:from>
      <xdr:col>6</xdr:col>
      <xdr:colOff>590550</xdr:colOff>
      <xdr:row>462</xdr:row>
      <xdr:rowOff>0</xdr:rowOff>
    </xdr:from>
    <xdr:ext cx="76200" cy="200025"/>
    <xdr:sp macro="" textlink="">
      <xdr:nvSpPr>
        <xdr:cNvPr id="239" name="Text Box 3">
          <a:extLst>
            <a:ext uri="{FF2B5EF4-FFF2-40B4-BE49-F238E27FC236}">
              <a16:creationId xmlns:a16="http://schemas.microsoft.com/office/drawing/2014/main" id="{198A046E-E8AE-480E-86C5-9C5134E97471}"/>
            </a:ext>
          </a:extLst>
        </xdr:cNvPr>
        <xdr:cNvSpPr txBox="1">
          <a:spLocks noChangeArrowheads="1"/>
        </xdr:cNvSpPr>
      </xdr:nvSpPr>
      <xdr:spPr bwMode="auto">
        <a:xfrm>
          <a:off x="4257675" y="76247625"/>
          <a:ext cx="76200" cy="200025"/>
        </a:xfrm>
        <a:prstGeom prst="rect">
          <a:avLst/>
        </a:prstGeom>
        <a:noFill/>
        <a:ln w="9525">
          <a:noFill/>
          <a:miter lim="800000"/>
          <a:headEnd/>
          <a:tailEnd/>
        </a:ln>
      </xdr:spPr>
    </xdr:sp>
    <xdr:clientData/>
  </xdr:oneCellAnchor>
  <xdr:oneCellAnchor>
    <xdr:from>
      <xdr:col>0</xdr:col>
      <xdr:colOff>0</xdr:colOff>
      <xdr:row>462</xdr:row>
      <xdr:rowOff>0</xdr:rowOff>
    </xdr:from>
    <xdr:ext cx="28575" cy="104775"/>
    <xdr:sp macro="" textlink="">
      <xdr:nvSpPr>
        <xdr:cNvPr id="240" name="Text Box 4">
          <a:extLst>
            <a:ext uri="{FF2B5EF4-FFF2-40B4-BE49-F238E27FC236}">
              <a16:creationId xmlns:a16="http://schemas.microsoft.com/office/drawing/2014/main" id="{9D113315-82DC-457A-ACFE-89ED6B9D0239}"/>
            </a:ext>
          </a:extLst>
        </xdr:cNvPr>
        <xdr:cNvSpPr txBox="1">
          <a:spLocks noChangeArrowheads="1"/>
        </xdr:cNvSpPr>
      </xdr:nvSpPr>
      <xdr:spPr bwMode="auto">
        <a:xfrm>
          <a:off x="0" y="76247625"/>
          <a:ext cx="28575" cy="104775"/>
        </a:xfrm>
        <a:prstGeom prst="rect">
          <a:avLst/>
        </a:prstGeom>
        <a:noFill/>
        <a:ln w="9525">
          <a:noFill/>
          <a:miter lim="800000"/>
          <a:headEnd/>
          <a:tailEnd/>
        </a:ln>
      </xdr:spPr>
    </xdr:sp>
    <xdr:clientData/>
  </xdr:oneCellAnchor>
  <xdr:oneCellAnchor>
    <xdr:from>
      <xdr:col>6</xdr:col>
      <xdr:colOff>590550</xdr:colOff>
      <xdr:row>461</xdr:row>
      <xdr:rowOff>0</xdr:rowOff>
    </xdr:from>
    <xdr:ext cx="76200" cy="196850"/>
    <xdr:sp macro="" textlink="">
      <xdr:nvSpPr>
        <xdr:cNvPr id="241" name="Text Box 3">
          <a:extLst>
            <a:ext uri="{FF2B5EF4-FFF2-40B4-BE49-F238E27FC236}">
              <a16:creationId xmlns:a16="http://schemas.microsoft.com/office/drawing/2014/main" id="{909B5F85-A61C-4765-BB36-DE893F464457}"/>
            </a:ext>
          </a:extLst>
        </xdr:cNvPr>
        <xdr:cNvSpPr txBox="1">
          <a:spLocks noChangeArrowheads="1"/>
        </xdr:cNvSpPr>
      </xdr:nvSpPr>
      <xdr:spPr bwMode="auto">
        <a:xfrm>
          <a:off x="4257675" y="76047600"/>
          <a:ext cx="76200" cy="196850"/>
        </a:xfrm>
        <a:prstGeom prst="rect">
          <a:avLst/>
        </a:prstGeom>
        <a:noFill/>
        <a:ln w="9525">
          <a:noFill/>
          <a:miter lim="800000"/>
          <a:headEnd/>
          <a:tailEnd/>
        </a:ln>
      </xdr:spPr>
    </xdr:sp>
    <xdr:clientData/>
  </xdr:oneCellAnchor>
  <xdr:oneCellAnchor>
    <xdr:from>
      <xdr:col>0</xdr:col>
      <xdr:colOff>0</xdr:colOff>
      <xdr:row>461</xdr:row>
      <xdr:rowOff>0</xdr:rowOff>
    </xdr:from>
    <xdr:ext cx="28575" cy="104775"/>
    <xdr:sp macro="" textlink="">
      <xdr:nvSpPr>
        <xdr:cNvPr id="242" name="Text Box 4">
          <a:extLst>
            <a:ext uri="{FF2B5EF4-FFF2-40B4-BE49-F238E27FC236}">
              <a16:creationId xmlns:a16="http://schemas.microsoft.com/office/drawing/2014/main" id="{E4E14AF7-4417-49B0-862C-0552C749E739}"/>
            </a:ext>
          </a:extLst>
        </xdr:cNvPr>
        <xdr:cNvSpPr txBox="1">
          <a:spLocks noChangeArrowheads="1"/>
        </xdr:cNvSpPr>
      </xdr:nvSpPr>
      <xdr:spPr bwMode="auto">
        <a:xfrm>
          <a:off x="0" y="76047600"/>
          <a:ext cx="28575" cy="10477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243" name="Text Box 3">
          <a:extLst>
            <a:ext uri="{FF2B5EF4-FFF2-40B4-BE49-F238E27FC236}">
              <a16:creationId xmlns:a16="http://schemas.microsoft.com/office/drawing/2014/main" id="{51DAA916-DD3E-47D0-9C9D-E87E4D8947AB}"/>
            </a:ext>
          </a:extLst>
        </xdr:cNvPr>
        <xdr:cNvSpPr txBox="1">
          <a:spLocks noChangeArrowheads="1"/>
        </xdr:cNvSpPr>
      </xdr:nvSpPr>
      <xdr:spPr bwMode="auto">
        <a:xfrm>
          <a:off x="4257675" y="85458300"/>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244" name="Text Box 3">
          <a:extLst>
            <a:ext uri="{FF2B5EF4-FFF2-40B4-BE49-F238E27FC236}">
              <a16:creationId xmlns:a16="http://schemas.microsoft.com/office/drawing/2014/main" id="{110656A5-22FA-4003-9490-F62C9EDA601A}"/>
            </a:ext>
          </a:extLst>
        </xdr:cNvPr>
        <xdr:cNvSpPr txBox="1">
          <a:spLocks noChangeArrowheads="1"/>
        </xdr:cNvSpPr>
      </xdr:nvSpPr>
      <xdr:spPr bwMode="auto">
        <a:xfrm>
          <a:off x="4257675" y="85458300"/>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245" name="Text Box 3">
          <a:extLst>
            <a:ext uri="{FF2B5EF4-FFF2-40B4-BE49-F238E27FC236}">
              <a16:creationId xmlns:a16="http://schemas.microsoft.com/office/drawing/2014/main" id="{4F98C523-47F1-4619-AD39-9E3A7D87E17C}"/>
            </a:ext>
          </a:extLst>
        </xdr:cNvPr>
        <xdr:cNvSpPr txBox="1">
          <a:spLocks noChangeArrowheads="1"/>
        </xdr:cNvSpPr>
      </xdr:nvSpPr>
      <xdr:spPr bwMode="auto">
        <a:xfrm>
          <a:off x="4257675" y="85458300"/>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246" name="Text Box 3">
          <a:extLst>
            <a:ext uri="{FF2B5EF4-FFF2-40B4-BE49-F238E27FC236}">
              <a16:creationId xmlns:a16="http://schemas.microsoft.com/office/drawing/2014/main" id="{70A5B7A2-FE91-4278-A5E1-7C0EC328D28C}"/>
            </a:ext>
          </a:extLst>
        </xdr:cNvPr>
        <xdr:cNvSpPr txBox="1">
          <a:spLocks noChangeArrowheads="1"/>
        </xdr:cNvSpPr>
      </xdr:nvSpPr>
      <xdr:spPr bwMode="auto">
        <a:xfrm>
          <a:off x="4257675" y="85458300"/>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247" name="Text Box 3">
          <a:extLst>
            <a:ext uri="{FF2B5EF4-FFF2-40B4-BE49-F238E27FC236}">
              <a16:creationId xmlns:a16="http://schemas.microsoft.com/office/drawing/2014/main" id="{C4ACFD33-61C7-40AD-8D16-7C80C74DD2C1}"/>
            </a:ext>
          </a:extLst>
        </xdr:cNvPr>
        <xdr:cNvSpPr txBox="1">
          <a:spLocks noChangeArrowheads="1"/>
        </xdr:cNvSpPr>
      </xdr:nvSpPr>
      <xdr:spPr bwMode="auto">
        <a:xfrm>
          <a:off x="4257675" y="85458300"/>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248" name="Text Box 3">
          <a:extLst>
            <a:ext uri="{FF2B5EF4-FFF2-40B4-BE49-F238E27FC236}">
              <a16:creationId xmlns:a16="http://schemas.microsoft.com/office/drawing/2014/main" id="{5F37177A-724D-43DE-8A68-31A9E7AB8AB2}"/>
            </a:ext>
          </a:extLst>
        </xdr:cNvPr>
        <xdr:cNvSpPr txBox="1">
          <a:spLocks noChangeArrowheads="1"/>
        </xdr:cNvSpPr>
      </xdr:nvSpPr>
      <xdr:spPr bwMode="auto">
        <a:xfrm>
          <a:off x="4257675" y="85458300"/>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249" name="Text Box 3">
          <a:extLst>
            <a:ext uri="{FF2B5EF4-FFF2-40B4-BE49-F238E27FC236}">
              <a16:creationId xmlns:a16="http://schemas.microsoft.com/office/drawing/2014/main" id="{3A8F7DF2-B769-4876-9312-58C43B1E4045}"/>
            </a:ext>
          </a:extLst>
        </xdr:cNvPr>
        <xdr:cNvSpPr txBox="1">
          <a:spLocks noChangeArrowheads="1"/>
        </xdr:cNvSpPr>
      </xdr:nvSpPr>
      <xdr:spPr bwMode="auto">
        <a:xfrm>
          <a:off x="4257675" y="85458300"/>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250" name="Text Box 3">
          <a:extLst>
            <a:ext uri="{FF2B5EF4-FFF2-40B4-BE49-F238E27FC236}">
              <a16:creationId xmlns:a16="http://schemas.microsoft.com/office/drawing/2014/main" id="{89FBD203-3ABB-43D2-BB19-38EF2DC6309D}"/>
            </a:ext>
          </a:extLst>
        </xdr:cNvPr>
        <xdr:cNvSpPr txBox="1">
          <a:spLocks noChangeArrowheads="1"/>
        </xdr:cNvSpPr>
      </xdr:nvSpPr>
      <xdr:spPr bwMode="auto">
        <a:xfrm>
          <a:off x="4257675" y="85458300"/>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251" name="Text Box 3">
          <a:extLst>
            <a:ext uri="{FF2B5EF4-FFF2-40B4-BE49-F238E27FC236}">
              <a16:creationId xmlns:a16="http://schemas.microsoft.com/office/drawing/2014/main" id="{624C5AF7-08B6-443F-96FE-EE1287E54815}"/>
            </a:ext>
          </a:extLst>
        </xdr:cNvPr>
        <xdr:cNvSpPr txBox="1">
          <a:spLocks noChangeArrowheads="1"/>
        </xdr:cNvSpPr>
      </xdr:nvSpPr>
      <xdr:spPr bwMode="auto">
        <a:xfrm>
          <a:off x="4257675" y="85458300"/>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252" name="Text Box 3">
          <a:extLst>
            <a:ext uri="{FF2B5EF4-FFF2-40B4-BE49-F238E27FC236}">
              <a16:creationId xmlns:a16="http://schemas.microsoft.com/office/drawing/2014/main" id="{E2FF3C46-6C96-4EAC-B189-3FD65F39A7CA}"/>
            </a:ext>
          </a:extLst>
        </xdr:cNvPr>
        <xdr:cNvSpPr txBox="1">
          <a:spLocks noChangeArrowheads="1"/>
        </xdr:cNvSpPr>
      </xdr:nvSpPr>
      <xdr:spPr bwMode="auto">
        <a:xfrm>
          <a:off x="4257675" y="85458300"/>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253" name="Text Box 3">
          <a:extLst>
            <a:ext uri="{FF2B5EF4-FFF2-40B4-BE49-F238E27FC236}">
              <a16:creationId xmlns:a16="http://schemas.microsoft.com/office/drawing/2014/main" id="{ADFFD88D-FE9A-4B39-BF79-3D327E09D95F}"/>
            </a:ext>
          </a:extLst>
        </xdr:cNvPr>
        <xdr:cNvSpPr txBox="1">
          <a:spLocks noChangeArrowheads="1"/>
        </xdr:cNvSpPr>
      </xdr:nvSpPr>
      <xdr:spPr bwMode="auto">
        <a:xfrm>
          <a:off x="4257675" y="85458300"/>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254" name="Text Box 3">
          <a:extLst>
            <a:ext uri="{FF2B5EF4-FFF2-40B4-BE49-F238E27FC236}">
              <a16:creationId xmlns:a16="http://schemas.microsoft.com/office/drawing/2014/main" id="{B2FE2E68-BA97-41D8-BFC5-F1710CB92BFD}"/>
            </a:ext>
          </a:extLst>
        </xdr:cNvPr>
        <xdr:cNvSpPr txBox="1">
          <a:spLocks noChangeArrowheads="1"/>
        </xdr:cNvSpPr>
      </xdr:nvSpPr>
      <xdr:spPr bwMode="auto">
        <a:xfrm>
          <a:off x="4257675" y="85458300"/>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255" name="Text Box 3">
          <a:extLst>
            <a:ext uri="{FF2B5EF4-FFF2-40B4-BE49-F238E27FC236}">
              <a16:creationId xmlns:a16="http://schemas.microsoft.com/office/drawing/2014/main" id="{CF1BB3D1-A085-419C-85B8-35377146998B}"/>
            </a:ext>
          </a:extLst>
        </xdr:cNvPr>
        <xdr:cNvSpPr txBox="1">
          <a:spLocks noChangeArrowheads="1"/>
        </xdr:cNvSpPr>
      </xdr:nvSpPr>
      <xdr:spPr bwMode="auto">
        <a:xfrm>
          <a:off x="4257675" y="85458300"/>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256" name="Text Box 3">
          <a:extLst>
            <a:ext uri="{FF2B5EF4-FFF2-40B4-BE49-F238E27FC236}">
              <a16:creationId xmlns:a16="http://schemas.microsoft.com/office/drawing/2014/main" id="{EFA8DA09-EF72-4ED5-B533-4CEB602B0261}"/>
            </a:ext>
          </a:extLst>
        </xdr:cNvPr>
        <xdr:cNvSpPr txBox="1">
          <a:spLocks noChangeArrowheads="1"/>
        </xdr:cNvSpPr>
      </xdr:nvSpPr>
      <xdr:spPr bwMode="auto">
        <a:xfrm>
          <a:off x="4257675" y="85458300"/>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257" name="Text Box 3">
          <a:extLst>
            <a:ext uri="{FF2B5EF4-FFF2-40B4-BE49-F238E27FC236}">
              <a16:creationId xmlns:a16="http://schemas.microsoft.com/office/drawing/2014/main" id="{EE43BE79-A859-450C-B788-DE25E356CCEE}"/>
            </a:ext>
          </a:extLst>
        </xdr:cNvPr>
        <xdr:cNvSpPr txBox="1">
          <a:spLocks noChangeArrowheads="1"/>
        </xdr:cNvSpPr>
      </xdr:nvSpPr>
      <xdr:spPr bwMode="auto">
        <a:xfrm>
          <a:off x="4257675" y="85458300"/>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258" name="Text Box 3">
          <a:extLst>
            <a:ext uri="{FF2B5EF4-FFF2-40B4-BE49-F238E27FC236}">
              <a16:creationId xmlns:a16="http://schemas.microsoft.com/office/drawing/2014/main" id="{32EB3B3E-A838-4113-B5D3-FEFAD5A95B3F}"/>
            </a:ext>
          </a:extLst>
        </xdr:cNvPr>
        <xdr:cNvSpPr txBox="1">
          <a:spLocks noChangeArrowheads="1"/>
        </xdr:cNvSpPr>
      </xdr:nvSpPr>
      <xdr:spPr bwMode="auto">
        <a:xfrm>
          <a:off x="4257675" y="85458300"/>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259" name="Text Box 3">
          <a:extLst>
            <a:ext uri="{FF2B5EF4-FFF2-40B4-BE49-F238E27FC236}">
              <a16:creationId xmlns:a16="http://schemas.microsoft.com/office/drawing/2014/main" id="{B8472746-F05A-4F01-8681-D24E8781675B}"/>
            </a:ext>
          </a:extLst>
        </xdr:cNvPr>
        <xdr:cNvSpPr txBox="1">
          <a:spLocks noChangeArrowheads="1"/>
        </xdr:cNvSpPr>
      </xdr:nvSpPr>
      <xdr:spPr bwMode="auto">
        <a:xfrm>
          <a:off x="4257675" y="85458300"/>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260" name="Text Box 3">
          <a:extLst>
            <a:ext uri="{FF2B5EF4-FFF2-40B4-BE49-F238E27FC236}">
              <a16:creationId xmlns:a16="http://schemas.microsoft.com/office/drawing/2014/main" id="{06788A87-236E-4C60-92B2-324C6CF46170}"/>
            </a:ext>
          </a:extLst>
        </xdr:cNvPr>
        <xdr:cNvSpPr txBox="1">
          <a:spLocks noChangeArrowheads="1"/>
        </xdr:cNvSpPr>
      </xdr:nvSpPr>
      <xdr:spPr bwMode="auto">
        <a:xfrm>
          <a:off x="4257675" y="85458300"/>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261" name="Text Box 3">
          <a:extLst>
            <a:ext uri="{FF2B5EF4-FFF2-40B4-BE49-F238E27FC236}">
              <a16:creationId xmlns:a16="http://schemas.microsoft.com/office/drawing/2014/main" id="{CFC2E72D-7E53-466D-905B-E94F90DCCCB6}"/>
            </a:ext>
          </a:extLst>
        </xdr:cNvPr>
        <xdr:cNvSpPr txBox="1">
          <a:spLocks noChangeArrowheads="1"/>
        </xdr:cNvSpPr>
      </xdr:nvSpPr>
      <xdr:spPr bwMode="auto">
        <a:xfrm>
          <a:off x="4257675" y="85458300"/>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262" name="Text Box 3">
          <a:extLst>
            <a:ext uri="{FF2B5EF4-FFF2-40B4-BE49-F238E27FC236}">
              <a16:creationId xmlns:a16="http://schemas.microsoft.com/office/drawing/2014/main" id="{F00ED5DC-1C0E-4D2F-BE66-2D57B7AA966D}"/>
            </a:ext>
          </a:extLst>
        </xdr:cNvPr>
        <xdr:cNvSpPr txBox="1">
          <a:spLocks noChangeArrowheads="1"/>
        </xdr:cNvSpPr>
      </xdr:nvSpPr>
      <xdr:spPr bwMode="auto">
        <a:xfrm>
          <a:off x="4257675" y="85458300"/>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263" name="Text Box 3">
          <a:extLst>
            <a:ext uri="{FF2B5EF4-FFF2-40B4-BE49-F238E27FC236}">
              <a16:creationId xmlns:a16="http://schemas.microsoft.com/office/drawing/2014/main" id="{43D831B9-7726-4B0F-9842-D4C2DC3E0200}"/>
            </a:ext>
          </a:extLst>
        </xdr:cNvPr>
        <xdr:cNvSpPr txBox="1">
          <a:spLocks noChangeArrowheads="1"/>
        </xdr:cNvSpPr>
      </xdr:nvSpPr>
      <xdr:spPr bwMode="auto">
        <a:xfrm>
          <a:off x="4257675" y="85458300"/>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264" name="Text Box 3">
          <a:extLst>
            <a:ext uri="{FF2B5EF4-FFF2-40B4-BE49-F238E27FC236}">
              <a16:creationId xmlns:a16="http://schemas.microsoft.com/office/drawing/2014/main" id="{BBB25C97-F392-458C-BF59-40AF6672B7D9}"/>
            </a:ext>
          </a:extLst>
        </xdr:cNvPr>
        <xdr:cNvSpPr txBox="1">
          <a:spLocks noChangeArrowheads="1"/>
        </xdr:cNvSpPr>
      </xdr:nvSpPr>
      <xdr:spPr bwMode="auto">
        <a:xfrm>
          <a:off x="4257675" y="85458300"/>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265" name="Text Box 3">
          <a:extLst>
            <a:ext uri="{FF2B5EF4-FFF2-40B4-BE49-F238E27FC236}">
              <a16:creationId xmlns:a16="http://schemas.microsoft.com/office/drawing/2014/main" id="{328CAC8F-A4C4-4CF8-9577-27D68E5391DB}"/>
            </a:ext>
          </a:extLst>
        </xdr:cNvPr>
        <xdr:cNvSpPr txBox="1">
          <a:spLocks noChangeArrowheads="1"/>
        </xdr:cNvSpPr>
      </xdr:nvSpPr>
      <xdr:spPr bwMode="auto">
        <a:xfrm>
          <a:off x="4257675" y="85458300"/>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266" name="Text Box 3">
          <a:extLst>
            <a:ext uri="{FF2B5EF4-FFF2-40B4-BE49-F238E27FC236}">
              <a16:creationId xmlns:a16="http://schemas.microsoft.com/office/drawing/2014/main" id="{EC7050B1-9C8B-4020-A22C-05DE3A26A23F}"/>
            </a:ext>
          </a:extLst>
        </xdr:cNvPr>
        <xdr:cNvSpPr txBox="1">
          <a:spLocks noChangeArrowheads="1"/>
        </xdr:cNvSpPr>
      </xdr:nvSpPr>
      <xdr:spPr bwMode="auto">
        <a:xfrm>
          <a:off x="4257675" y="85458300"/>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267" name="Text Box 3">
          <a:extLst>
            <a:ext uri="{FF2B5EF4-FFF2-40B4-BE49-F238E27FC236}">
              <a16:creationId xmlns:a16="http://schemas.microsoft.com/office/drawing/2014/main" id="{6073FB26-E11C-442D-A9C6-34C8A0C976F3}"/>
            </a:ext>
          </a:extLst>
        </xdr:cNvPr>
        <xdr:cNvSpPr txBox="1">
          <a:spLocks noChangeArrowheads="1"/>
        </xdr:cNvSpPr>
      </xdr:nvSpPr>
      <xdr:spPr bwMode="auto">
        <a:xfrm>
          <a:off x="4257675" y="85458300"/>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268" name="Text Box 3">
          <a:extLst>
            <a:ext uri="{FF2B5EF4-FFF2-40B4-BE49-F238E27FC236}">
              <a16:creationId xmlns:a16="http://schemas.microsoft.com/office/drawing/2014/main" id="{C7D8B72D-62C8-4C57-A9E1-88E6C5B71100}"/>
            </a:ext>
          </a:extLst>
        </xdr:cNvPr>
        <xdr:cNvSpPr txBox="1">
          <a:spLocks noChangeArrowheads="1"/>
        </xdr:cNvSpPr>
      </xdr:nvSpPr>
      <xdr:spPr bwMode="auto">
        <a:xfrm>
          <a:off x="4257675" y="85458300"/>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269" name="Text Box 3">
          <a:extLst>
            <a:ext uri="{FF2B5EF4-FFF2-40B4-BE49-F238E27FC236}">
              <a16:creationId xmlns:a16="http://schemas.microsoft.com/office/drawing/2014/main" id="{98102DAD-A89F-480A-96CA-C745FEE803D5}"/>
            </a:ext>
          </a:extLst>
        </xdr:cNvPr>
        <xdr:cNvSpPr txBox="1">
          <a:spLocks noChangeArrowheads="1"/>
        </xdr:cNvSpPr>
      </xdr:nvSpPr>
      <xdr:spPr bwMode="auto">
        <a:xfrm>
          <a:off x="4257675" y="85458300"/>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270" name="Text Box 3">
          <a:extLst>
            <a:ext uri="{FF2B5EF4-FFF2-40B4-BE49-F238E27FC236}">
              <a16:creationId xmlns:a16="http://schemas.microsoft.com/office/drawing/2014/main" id="{D82EEFBC-D38E-48C7-86C1-44AC45D3AB07}"/>
            </a:ext>
          </a:extLst>
        </xdr:cNvPr>
        <xdr:cNvSpPr txBox="1">
          <a:spLocks noChangeArrowheads="1"/>
        </xdr:cNvSpPr>
      </xdr:nvSpPr>
      <xdr:spPr bwMode="auto">
        <a:xfrm>
          <a:off x="4257675" y="85458300"/>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271" name="Text Box 3">
          <a:extLst>
            <a:ext uri="{FF2B5EF4-FFF2-40B4-BE49-F238E27FC236}">
              <a16:creationId xmlns:a16="http://schemas.microsoft.com/office/drawing/2014/main" id="{365064EE-A47B-46A1-8736-6B6B961E4441}"/>
            </a:ext>
          </a:extLst>
        </xdr:cNvPr>
        <xdr:cNvSpPr txBox="1">
          <a:spLocks noChangeArrowheads="1"/>
        </xdr:cNvSpPr>
      </xdr:nvSpPr>
      <xdr:spPr bwMode="auto">
        <a:xfrm>
          <a:off x="4257675" y="85458300"/>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272" name="Text Box 3">
          <a:extLst>
            <a:ext uri="{FF2B5EF4-FFF2-40B4-BE49-F238E27FC236}">
              <a16:creationId xmlns:a16="http://schemas.microsoft.com/office/drawing/2014/main" id="{DEF1BB09-5EFA-4414-9F31-26D8DFA81303}"/>
            </a:ext>
          </a:extLst>
        </xdr:cNvPr>
        <xdr:cNvSpPr txBox="1">
          <a:spLocks noChangeArrowheads="1"/>
        </xdr:cNvSpPr>
      </xdr:nvSpPr>
      <xdr:spPr bwMode="auto">
        <a:xfrm>
          <a:off x="4257675" y="85458300"/>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273" name="Text Box 3">
          <a:extLst>
            <a:ext uri="{FF2B5EF4-FFF2-40B4-BE49-F238E27FC236}">
              <a16:creationId xmlns:a16="http://schemas.microsoft.com/office/drawing/2014/main" id="{CF95E934-A00E-43BA-83CF-BAA17985E8DD}"/>
            </a:ext>
          </a:extLst>
        </xdr:cNvPr>
        <xdr:cNvSpPr txBox="1">
          <a:spLocks noChangeArrowheads="1"/>
        </xdr:cNvSpPr>
      </xdr:nvSpPr>
      <xdr:spPr bwMode="auto">
        <a:xfrm>
          <a:off x="4257675" y="85458300"/>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274" name="Text Box 3">
          <a:extLst>
            <a:ext uri="{FF2B5EF4-FFF2-40B4-BE49-F238E27FC236}">
              <a16:creationId xmlns:a16="http://schemas.microsoft.com/office/drawing/2014/main" id="{C3874EE3-BF4D-4812-900C-D41A539540B4}"/>
            </a:ext>
          </a:extLst>
        </xdr:cNvPr>
        <xdr:cNvSpPr txBox="1">
          <a:spLocks noChangeArrowheads="1"/>
        </xdr:cNvSpPr>
      </xdr:nvSpPr>
      <xdr:spPr bwMode="auto">
        <a:xfrm>
          <a:off x="4257675" y="85458300"/>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275" name="Text Box 3">
          <a:extLst>
            <a:ext uri="{FF2B5EF4-FFF2-40B4-BE49-F238E27FC236}">
              <a16:creationId xmlns:a16="http://schemas.microsoft.com/office/drawing/2014/main" id="{1E0C581A-0941-4E1A-B85E-E8739214787C}"/>
            </a:ext>
          </a:extLst>
        </xdr:cNvPr>
        <xdr:cNvSpPr txBox="1">
          <a:spLocks noChangeArrowheads="1"/>
        </xdr:cNvSpPr>
      </xdr:nvSpPr>
      <xdr:spPr bwMode="auto">
        <a:xfrm>
          <a:off x="4257675" y="85458300"/>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276" name="Text Box 3">
          <a:extLst>
            <a:ext uri="{FF2B5EF4-FFF2-40B4-BE49-F238E27FC236}">
              <a16:creationId xmlns:a16="http://schemas.microsoft.com/office/drawing/2014/main" id="{0D443206-BF03-4DBD-8FE9-92A7721781FC}"/>
            </a:ext>
          </a:extLst>
        </xdr:cNvPr>
        <xdr:cNvSpPr txBox="1">
          <a:spLocks noChangeArrowheads="1"/>
        </xdr:cNvSpPr>
      </xdr:nvSpPr>
      <xdr:spPr bwMode="auto">
        <a:xfrm>
          <a:off x="4257675" y="85458300"/>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277" name="Text Box 3">
          <a:extLst>
            <a:ext uri="{FF2B5EF4-FFF2-40B4-BE49-F238E27FC236}">
              <a16:creationId xmlns:a16="http://schemas.microsoft.com/office/drawing/2014/main" id="{36CD03D2-7EC9-4F5F-8C52-01DC1FD6DB27}"/>
            </a:ext>
          </a:extLst>
        </xdr:cNvPr>
        <xdr:cNvSpPr txBox="1">
          <a:spLocks noChangeArrowheads="1"/>
        </xdr:cNvSpPr>
      </xdr:nvSpPr>
      <xdr:spPr bwMode="auto">
        <a:xfrm>
          <a:off x="4257675" y="85458300"/>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278" name="Text Box 3">
          <a:extLst>
            <a:ext uri="{FF2B5EF4-FFF2-40B4-BE49-F238E27FC236}">
              <a16:creationId xmlns:a16="http://schemas.microsoft.com/office/drawing/2014/main" id="{5735F16E-89CE-4D06-A39F-D3DA917CAF5F}"/>
            </a:ext>
          </a:extLst>
        </xdr:cNvPr>
        <xdr:cNvSpPr txBox="1">
          <a:spLocks noChangeArrowheads="1"/>
        </xdr:cNvSpPr>
      </xdr:nvSpPr>
      <xdr:spPr bwMode="auto">
        <a:xfrm>
          <a:off x="4257675" y="85458300"/>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279" name="Text Box 3">
          <a:extLst>
            <a:ext uri="{FF2B5EF4-FFF2-40B4-BE49-F238E27FC236}">
              <a16:creationId xmlns:a16="http://schemas.microsoft.com/office/drawing/2014/main" id="{17A333FE-8B79-4F5C-816B-46993C0B779B}"/>
            </a:ext>
          </a:extLst>
        </xdr:cNvPr>
        <xdr:cNvSpPr txBox="1">
          <a:spLocks noChangeArrowheads="1"/>
        </xdr:cNvSpPr>
      </xdr:nvSpPr>
      <xdr:spPr bwMode="auto">
        <a:xfrm>
          <a:off x="4257675" y="85458300"/>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280" name="Text Box 3">
          <a:extLst>
            <a:ext uri="{FF2B5EF4-FFF2-40B4-BE49-F238E27FC236}">
              <a16:creationId xmlns:a16="http://schemas.microsoft.com/office/drawing/2014/main" id="{47DFDF97-305B-4F9B-BF7F-FF5BBE5921E5}"/>
            </a:ext>
          </a:extLst>
        </xdr:cNvPr>
        <xdr:cNvSpPr txBox="1">
          <a:spLocks noChangeArrowheads="1"/>
        </xdr:cNvSpPr>
      </xdr:nvSpPr>
      <xdr:spPr bwMode="auto">
        <a:xfrm>
          <a:off x="4257675" y="85458300"/>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281" name="Text Box 3">
          <a:extLst>
            <a:ext uri="{FF2B5EF4-FFF2-40B4-BE49-F238E27FC236}">
              <a16:creationId xmlns:a16="http://schemas.microsoft.com/office/drawing/2014/main" id="{A9FB3C2D-4A04-4947-9213-9FED41F2BF4A}"/>
            </a:ext>
          </a:extLst>
        </xdr:cNvPr>
        <xdr:cNvSpPr txBox="1">
          <a:spLocks noChangeArrowheads="1"/>
        </xdr:cNvSpPr>
      </xdr:nvSpPr>
      <xdr:spPr bwMode="auto">
        <a:xfrm>
          <a:off x="4257675" y="85458300"/>
          <a:ext cx="76200" cy="200025"/>
        </a:xfrm>
        <a:prstGeom prst="rect">
          <a:avLst/>
        </a:prstGeom>
        <a:noFill/>
        <a:ln w="9525">
          <a:noFill/>
          <a:miter lim="800000"/>
          <a:headEnd/>
          <a:tailEnd/>
        </a:ln>
      </xdr:spPr>
    </xdr:sp>
    <xdr:clientData/>
  </xdr:oneCellAnchor>
  <xdr:oneCellAnchor>
    <xdr:from>
      <xdr:col>6</xdr:col>
      <xdr:colOff>590550</xdr:colOff>
      <xdr:row>520</xdr:row>
      <xdr:rowOff>0</xdr:rowOff>
    </xdr:from>
    <xdr:ext cx="76200" cy="200025"/>
    <xdr:sp macro="" textlink="">
      <xdr:nvSpPr>
        <xdr:cNvPr id="282" name="Text Box 3">
          <a:extLst>
            <a:ext uri="{FF2B5EF4-FFF2-40B4-BE49-F238E27FC236}">
              <a16:creationId xmlns:a16="http://schemas.microsoft.com/office/drawing/2014/main" id="{A271B884-57CB-4937-B31E-51DE63137E1D}"/>
            </a:ext>
          </a:extLst>
        </xdr:cNvPr>
        <xdr:cNvSpPr txBox="1">
          <a:spLocks noChangeArrowheads="1"/>
        </xdr:cNvSpPr>
      </xdr:nvSpPr>
      <xdr:spPr bwMode="auto">
        <a:xfrm>
          <a:off x="4257675" y="85820250"/>
          <a:ext cx="76200" cy="200025"/>
        </a:xfrm>
        <a:prstGeom prst="rect">
          <a:avLst/>
        </a:prstGeom>
        <a:noFill/>
        <a:ln w="9525">
          <a:noFill/>
          <a:miter lim="800000"/>
          <a:headEnd/>
          <a:tailEnd/>
        </a:ln>
      </xdr:spPr>
    </xdr:sp>
    <xdr:clientData/>
  </xdr:oneCellAnchor>
  <xdr:oneCellAnchor>
    <xdr:from>
      <xdr:col>0</xdr:col>
      <xdr:colOff>0</xdr:colOff>
      <xdr:row>520</xdr:row>
      <xdr:rowOff>0</xdr:rowOff>
    </xdr:from>
    <xdr:ext cx="28575" cy="104775"/>
    <xdr:sp macro="" textlink="">
      <xdr:nvSpPr>
        <xdr:cNvPr id="283" name="Text Box 4">
          <a:extLst>
            <a:ext uri="{FF2B5EF4-FFF2-40B4-BE49-F238E27FC236}">
              <a16:creationId xmlns:a16="http://schemas.microsoft.com/office/drawing/2014/main" id="{11CC14F7-E586-4FCB-B043-AC6DAB4FBD1D}"/>
            </a:ext>
          </a:extLst>
        </xdr:cNvPr>
        <xdr:cNvSpPr txBox="1">
          <a:spLocks noChangeArrowheads="1"/>
        </xdr:cNvSpPr>
      </xdr:nvSpPr>
      <xdr:spPr bwMode="auto">
        <a:xfrm>
          <a:off x="0" y="85820250"/>
          <a:ext cx="28575" cy="104775"/>
        </a:xfrm>
        <a:prstGeom prst="rect">
          <a:avLst/>
        </a:prstGeom>
        <a:noFill/>
        <a:ln w="9525">
          <a:noFill/>
          <a:miter lim="800000"/>
          <a:headEnd/>
          <a:tailEnd/>
        </a:ln>
      </xdr:spPr>
    </xdr:sp>
    <xdr:clientData/>
  </xdr:oneCellAnchor>
  <xdr:oneCellAnchor>
    <xdr:from>
      <xdr:col>6</xdr:col>
      <xdr:colOff>590550</xdr:colOff>
      <xdr:row>519</xdr:row>
      <xdr:rowOff>0</xdr:rowOff>
    </xdr:from>
    <xdr:ext cx="76200" cy="196850"/>
    <xdr:sp macro="" textlink="">
      <xdr:nvSpPr>
        <xdr:cNvPr id="284" name="Text Box 3">
          <a:extLst>
            <a:ext uri="{FF2B5EF4-FFF2-40B4-BE49-F238E27FC236}">
              <a16:creationId xmlns:a16="http://schemas.microsoft.com/office/drawing/2014/main" id="{9FD07D38-9F93-47EC-ACE7-55E494F34654}"/>
            </a:ext>
          </a:extLst>
        </xdr:cNvPr>
        <xdr:cNvSpPr txBox="1">
          <a:spLocks noChangeArrowheads="1"/>
        </xdr:cNvSpPr>
      </xdr:nvSpPr>
      <xdr:spPr bwMode="auto">
        <a:xfrm>
          <a:off x="4257675" y="85620225"/>
          <a:ext cx="76200" cy="196850"/>
        </a:xfrm>
        <a:prstGeom prst="rect">
          <a:avLst/>
        </a:prstGeom>
        <a:noFill/>
        <a:ln w="9525">
          <a:noFill/>
          <a:miter lim="800000"/>
          <a:headEnd/>
          <a:tailEnd/>
        </a:ln>
      </xdr:spPr>
    </xdr:sp>
    <xdr:clientData/>
  </xdr:oneCellAnchor>
  <xdr:oneCellAnchor>
    <xdr:from>
      <xdr:col>0</xdr:col>
      <xdr:colOff>0</xdr:colOff>
      <xdr:row>519</xdr:row>
      <xdr:rowOff>0</xdr:rowOff>
    </xdr:from>
    <xdr:ext cx="28575" cy="104775"/>
    <xdr:sp macro="" textlink="">
      <xdr:nvSpPr>
        <xdr:cNvPr id="285" name="Text Box 4">
          <a:extLst>
            <a:ext uri="{FF2B5EF4-FFF2-40B4-BE49-F238E27FC236}">
              <a16:creationId xmlns:a16="http://schemas.microsoft.com/office/drawing/2014/main" id="{A3724B48-AEB6-490D-9A1D-4B17A15C73D3}"/>
            </a:ext>
          </a:extLst>
        </xdr:cNvPr>
        <xdr:cNvSpPr txBox="1">
          <a:spLocks noChangeArrowheads="1"/>
        </xdr:cNvSpPr>
      </xdr:nvSpPr>
      <xdr:spPr bwMode="auto">
        <a:xfrm>
          <a:off x="0" y="85620225"/>
          <a:ext cx="28575" cy="10477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286" name="Text Box 3">
          <a:extLst>
            <a:ext uri="{FF2B5EF4-FFF2-40B4-BE49-F238E27FC236}">
              <a16:creationId xmlns:a16="http://schemas.microsoft.com/office/drawing/2014/main" id="{130D7932-6541-4443-9893-264F4C564F9E}"/>
            </a:ext>
          </a:extLst>
        </xdr:cNvPr>
        <xdr:cNvSpPr txBox="1">
          <a:spLocks noChangeArrowheads="1"/>
        </xdr:cNvSpPr>
      </xdr:nvSpPr>
      <xdr:spPr bwMode="auto">
        <a:xfrm>
          <a:off x="4257675" y="95030925"/>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287" name="Text Box 3">
          <a:extLst>
            <a:ext uri="{FF2B5EF4-FFF2-40B4-BE49-F238E27FC236}">
              <a16:creationId xmlns:a16="http://schemas.microsoft.com/office/drawing/2014/main" id="{731513D6-6BA2-4F2B-B7AA-B3473D3B9300}"/>
            </a:ext>
          </a:extLst>
        </xdr:cNvPr>
        <xdr:cNvSpPr txBox="1">
          <a:spLocks noChangeArrowheads="1"/>
        </xdr:cNvSpPr>
      </xdr:nvSpPr>
      <xdr:spPr bwMode="auto">
        <a:xfrm>
          <a:off x="4257675" y="95030925"/>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288" name="Text Box 3">
          <a:extLst>
            <a:ext uri="{FF2B5EF4-FFF2-40B4-BE49-F238E27FC236}">
              <a16:creationId xmlns:a16="http://schemas.microsoft.com/office/drawing/2014/main" id="{8ED5D391-D56B-45EF-B167-CA0968BB1235}"/>
            </a:ext>
          </a:extLst>
        </xdr:cNvPr>
        <xdr:cNvSpPr txBox="1">
          <a:spLocks noChangeArrowheads="1"/>
        </xdr:cNvSpPr>
      </xdr:nvSpPr>
      <xdr:spPr bwMode="auto">
        <a:xfrm>
          <a:off x="4257675" y="95030925"/>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289" name="Text Box 3">
          <a:extLst>
            <a:ext uri="{FF2B5EF4-FFF2-40B4-BE49-F238E27FC236}">
              <a16:creationId xmlns:a16="http://schemas.microsoft.com/office/drawing/2014/main" id="{DC2B9EAD-DE21-4015-9C20-51B98C29344C}"/>
            </a:ext>
          </a:extLst>
        </xdr:cNvPr>
        <xdr:cNvSpPr txBox="1">
          <a:spLocks noChangeArrowheads="1"/>
        </xdr:cNvSpPr>
      </xdr:nvSpPr>
      <xdr:spPr bwMode="auto">
        <a:xfrm>
          <a:off x="4257675" y="95030925"/>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290" name="Text Box 3">
          <a:extLst>
            <a:ext uri="{FF2B5EF4-FFF2-40B4-BE49-F238E27FC236}">
              <a16:creationId xmlns:a16="http://schemas.microsoft.com/office/drawing/2014/main" id="{30AC31C0-93E1-4FC8-80C1-D4918047D32D}"/>
            </a:ext>
          </a:extLst>
        </xdr:cNvPr>
        <xdr:cNvSpPr txBox="1">
          <a:spLocks noChangeArrowheads="1"/>
        </xdr:cNvSpPr>
      </xdr:nvSpPr>
      <xdr:spPr bwMode="auto">
        <a:xfrm>
          <a:off x="4257675" y="95030925"/>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291" name="Text Box 3">
          <a:extLst>
            <a:ext uri="{FF2B5EF4-FFF2-40B4-BE49-F238E27FC236}">
              <a16:creationId xmlns:a16="http://schemas.microsoft.com/office/drawing/2014/main" id="{F8997BFF-4168-478D-8FC9-A876CB749F81}"/>
            </a:ext>
          </a:extLst>
        </xdr:cNvPr>
        <xdr:cNvSpPr txBox="1">
          <a:spLocks noChangeArrowheads="1"/>
        </xdr:cNvSpPr>
      </xdr:nvSpPr>
      <xdr:spPr bwMode="auto">
        <a:xfrm>
          <a:off x="4257675" y="95030925"/>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292" name="Text Box 3">
          <a:extLst>
            <a:ext uri="{FF2B5EF4-FFF2-40B4-BE49-F238E27FC236}">
              <a16:creationId xmlns:a16="http://schemas.microsoft.com/office/drawing/2014/main" id="{C942B0D5-7EA6-4B79-95CE-DBE3AB30D213}"/>
            </a:ext>
          </a:extLst>
        </xdr:cNvPr>
        <xdr:cNvSpPr txBox="1">
          <a:spLocks noChangeArrowheads="1"/>
        </xdr:cNvSpPr>
      </xdr:nvSpPr>
      <xdr:spPr bwMode="auto">
        <a:xfrm>
          <a:off x="4257675" y="95030925"/>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293" name="Text Box 3">
          <a:extLst>
            <a:ext uri="{FF2B5EF4-FFF2-40B4-BE49-F238E27FC236}">
              <a16:creationId xmlns:a16="http://schemas.microsoft.com/office/drawing/2014/main" id="{CF3D5FEA-30FB-49BB-B8C9-A6D4C8EC38FB}"/>
            </a:ext>
          </a:extLst>
        </xdr:cNvPr>
        <xdr:cNvSpPr txBox="1">
          <a:spLocks noChangeArrowheads="1"/>
        </xdr:cNvSpPr>
      </xdr:nvSpPr>
      <xdr:spPr bwMode="auto">
        <a:xfrm>
          <a:off x="4257675" y="95030925"/>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294" name="Text Box 3">
          <a:extLst>
            <a:ext uri="{FF2B5EF4-FFF2-40B4-BE49-F238E27FC236}">
              <a16:creationId xmlns:a16="http://schemas.microsoft.com/office/drawing/2014/main" id="{51212B61-4F2D-45A4-A6A7-B0DEC90DE293}"/>
            </a:ext>
          </a:extLst>
        </xdr:cNvPr>
        <xdr:cNvSpPr txBox="1">
          <a:spLocks noChangeArrowheads="1"/>
        </xdr:cNvSpPr>
      </xdr:nvSpPr>
      <xdr:spPr bwMode="auto">
        <a:xfrm>
          <a:off x="4257675" y="95030925"/>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295" name="Text Box 3">
          <a:extLst>
            <a:ext uri="{FF2B5EF4-FFF2-40B4-BE49-F238E27FC236}">
              <a16:creationId xmlns:a16="http://schemas.microsoft.com/office/drawing/2014/main" id="{6F5172BA-6EB8-4DE5-80AB-289CF08A5FF7}"/>
            </a:ext>
          </a:extLst>
        </xdr:cNvPr>
        <xdr:cNvSpPr txBox="1">
          <a:spLocks noChangeArrowheads="1"/>
        </xdr:cNvSpPr>
      </xdr:nvSpPr>
      <xdr:spPr bwMode="auto">
        <a:xfrm>
          <a:off x="4257675" y="95030925"/>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296" name="Text Box 3">
          <a:extLst>
            <a:ext uri="{FF2B5EF4-FFF2-40B4-BE49-F238E27FC236}">
              <a16:creationId xmlns:a16="http://schemas.microsoft.com/office/drawing/2014/main" id="{77687815-3C47-41EA-A8CB-FE693BE4F8EE}"/>
            </a:ext>
          </a:extLst>
        </xdr:cNvPr>
        <xdr:cNvSpPr txBox="1">
          <a:spLocks noChangeArrowheads="1"/>
        </xdr:cNvSpPr>
      </xdr:nvSpPr>
      <xdr:spPr bwMode="auto">
        <a:xfrm>
          <a:off x="4257675" y="95030925"/>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297" name="Text Box 3">
          <a:extLst>
            <a:ext uri="{FF2B5EF4-FFF2-40B4-BE49-F238E27FC236}">
              <a16:creationId xmlns:a16="http://schemas.microsoft.com/office/drawing/2014/main" id="{5B506E5B-BEE1-4BF0-BAD9-0A5F259ADD0D}"/>
            </a:ext>
          </a:extLst>
        </xdr:cNvPr>
        <xdr:cNvSpPr txBox="1">
          <a:spLocks noChangeArrowheads="1"/>
        </xdr:cNvSpPr>
      </xdr:nvSpPr>
      <xdr:spPr bwMode="auto">
        <a:xfrm>
          <a:off x="4257675" y="95030925"/>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298" name="Text Box 3">
          <a:extLst>
            <a:ext uri="{FF2B5EF4-FFF2-40B4-BE49-F238E27FC236}">
              <a16:creationId xmlns:a16="http://schemas.microsoft.com/office/drawing/2014/main" id="{C72551C6-35EB-439A-88CD-2390DC795094}"/>
            </a:ext>
          </a:extLst>
        </xdr:cNvPr>
        <xdr:cNvSpPr txBox="1">
          <a:spLocks noChangeArrowheads="1"/>
        </xdr:cNvSpPr>
      </xdr:nvSpPr>
      <xdr:spPr bwMode="auto">
        <a:xfrm>
          <a:off x="4257675" y="95030925"/>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299" name="Text Box 3">
          <a:extLst>
            <a:ext uri="{FF2B5EF4-FFF2-40B4-BE49-F238E27FC236}">
              <a16:creationId xmlns:a16="http://schemas.microsoft.com/office/drawing/2014/main" id="{A4497F6C-15F1-4D78-BBC8-EA341BF5B204}"/>
            </a:ext>
          </a:extLst>
        </xdr:cNvPr>
        <xdr:cNvSpPr txBox="1">
          <a:spLocks noChangeArrowheads="1"/>
        </xdr:cNvSpPr>
      </xdr:nvSpPr>
      <xdr:spPr bwMode="auto">
        <a:xfrm>
          <a:off x="4257675" y="95030925"/>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300" name="Text Box 3">
          <a:extLst>
            <a:ext uri="{FF2B5EF4-FFF2-40B4-BE49-F238E27FC236}">
              <a16:creationId xmlns:a16="http://schemas.microsoft.com/office/drawing/2014/main" id="{4123B57C-F6D7-4118-8C62-CB1E1ED3B0D2}"/>
            </a:ext>
          </a:extLst>
        </xdr:cNvPr>
        <xdr:cNvSpPr txBox="1">
          <a:spLocks noChangeArrowheads="1"/>
        </xdr:cNvSpPr>
      </xdr:nvSpPr>
      <xdr:spPr bwMode="auto">
        <a:xfrm>
          <a:off x="4257675" y="95030925"/>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301" name="Text Box 3">
          <a:extLst>
            <a:ext uri="{FF2B5EF4-FFF2-40B4-BE49-F238E27FC236}">
              <a16:creationId xmlns:a16="http://schemas.microsoft.com/office/drawing/2014/main" id="{F419C2A6-5546-4EBA-94FC-485476291F37}"/>
            </a:ext>
          </a:extLst>
        </xdr:cNvPr>
        <xdr:cNvSpPr txBox="1">
          <a:spLocks noChangeArrowheads="1"/>
        </xdr:cNvSpPr>
      </xdr:nvSpPr>
      <xdr:spPr bwMode="auto">
        <a:xfrm>
          <a:off x="4257675" y="95030925"/>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302" name="Text Box 3">
          <a:extLst>
            <a:ext uri="{FF2B5EF4-FFF2-40B4-BE49-F238E27FC236}">
              <a16:creationId xmlns:a16="http://schemas.microsoft.com/office/drawing/2014/main" id="{63FC11DF-8286-4416-ACDB-F02BC0A36D74}"/>
            </a:ext>
          </a:extLst>
        </xdr:cNvPr>
        <xdr:cNvSpPr txBox="1">
          <a:spLocks noChangeArrowheads="1"/>
        </xdr:cNvSpPr>
      </xdr:nvSpPr>
      <xdr:spPr bwMode="auto">
        <a:xfrm>
          <a:off x="4257675" y="95030925"/>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303" name="Text Box 3">
          <a:extLst>
            <a:ext uri="{FF2B5EF4-FFF2-40B4-BE49-F238E27FC236}">
              <a16:creationId xmlns:a16="http://schemas.microsoft.com/office/drawing/2014/main" id="{E83DBEF4-59AD-4B86-817B-EDF660175152}"/>
            </a:ext>
          </a:extLst>
        </xdr:cNvPr>
        <xdr:cNvSpPr txBox="1">
          <a:spLocks noChangeArrowheads="1"/>
        </xdr:cNvSpPr>
      </xdr:nvSpPr>
      <xdr:spPr bwMode="auto">
        <a:xfrm>
          <a:off x="4257675" y="95030925"/>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304" name="Text Box 3">
          <a:extLst>
            <a:ext uri="{FF2B5EF4-FFF2-40B4-BE49-F238E27FC236}">
              <a16:creationId xmlns:a16="http://schemas.microsoft.com/office/drawing/2014/main" id="{EDE75E00-594B-4D30-9C08-2BC5A485ABC6}"/>
            </a:ext>
          </a:extLst>
        </xdr:cNvPr>
        <xdr:cNvSpPr txBox="1">
          <a:spLocks noChangeArrowheads="1"/>
        </xdr:cNvSpPr>
      </xdr:nvSpPr>
      <xdr:spPr bwMode="auto">
        <a:xfrm>
          <a:off x="4257675" y="95030925"/>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305" name="Text Box 3">
          <a:extLst>
            <a:ext uri="{FF2B5EF4-FFF2-40B4-BE49-F238E27FC236}">
              <a16:creationId xmlns:a16="http://schemas.microsoft.com/office/drawing/2014/main" id="{20582183-9472-4AD6-8BB9-8B3C47BD5B20}"/>
            </a:ext>
          </a:extLst>
        </xdr:cNvPr>
        <xdr:cNvSpPr txBox="1">
          <a:spLocks noChangeArrowheads="1"/>
        </xdr:cNvSpPr>
      </xdr:nvSpPr>
      <xdr:spPr bwMode="auto">
        <a:xfrm>
          <a:off x="4257675" y="95030925"/>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306" name="Text Box 3">
          <a:extLst>
            <a:ext uri="{FF2B5EF4-FFF2-40B4-BE49-F238E27FC236}">
              <a16:creationId xmlns:a16="http://schemas.microsoft.com/office/drawing/2014/main" id="{AEBC1BBA-7B35-4125-8E1C-882F4C17D727}"/>
            </a:ext>
          </a:extLst>
        </xdr:cNvPr>
        <xdr:cNvSpPr txBox="1">
          <a:spLocks noChangeArrowheads="1"/>
        </xdr:cNvSpPr>
      </xdr:nvSpPr>
      <xdr:spPr bwMode="auto">
        <a:xfrm>
          <a:off x="4257675" y="95030925"/>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307" name="Text Box 3">
          <a:extLst>
            <a:ext uri="{FF2B5EF4-FFF2-40B4-BE49-F238E27FC236}">
              <a16:creationId xmlns:a16="http://schemas.microsoft.com/office/drawing/2014/main" id="{EACFEA23-92B4-46C0-8112-0E900AE16206}"/>
            </a:ext>
          </a:extLst>
        </xdr:cNvPr>
        <xdr:cNvSpPr txBox="1">
          <a:spLocks noChangeArrowheads="1"/>
        </xdr:cNvSpPr>
      </xdr:nvSpPr>
      <xdr:spPr bwMode="auto">
        <a:xfrm>
          <a:off x="4257675" y="95030925"/>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308" name="Text Box 3">
          <a:extLst>
            <a:ext uri="{FF2B5EF4-FFF2-40B4-BE49-F238E27FC236}">
              <a16:creationId xmlns:a16="http://schemas.microsoft.com/office/drawing/2014/main" id="{246AF801-680D-4100-B470-C2D2F61BF3B0}"/>
            </a:ext>
          </a:extLst>
        </xdr:cNvPr>
        <xdr:cNvSpPr txBox="1">
          <a:spLocks noChangeArrowheads="1"/>
        </xdr:cNvSpPr>
      </xdr:nvSpPr>
      <xdr:spPr bwMode="auto">
        <a:xfrm>
          <a:off x="4257675" y="95030925"/>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309" name="Text Box 3">
          <a:extLst>
            <a:ext uri="{FF2B5EF4-FFF2-40B4-BE49-F238E27FC236}">
              <a16:creationId xmlns:a16="http://schemas.microsoft.com/office/drawing/2014/main" id="{5F9766BD-A8A1-432D-9D7F-63F2E2CBA11B}"/>
            </a:ext>
          </a:extLst>
        </xdr:cNvPr>
        <xdr:cNvSpPr txBox="1">
          <a:spLocks noChangeArrowheads="1"/>
        </xdr:cNvSpPr>
      </xdr:nvSpPr>
      <xdr:spPr bwMode="auto">
        <a:xfrm>
          <a:off x="4257675" y="95030925"/>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310" name="Text Box 3">
          <a:extLst>
            <a:ext uri="{FF2B5EF4-FFF2-40B4-BE49-F238E27FC236}">
              <a16:creationId xmlns:a16="http://schemas.microsoft.com/office/drawing/2014/main" id="{7C6A97E7-7514-4219-AEAC-530991AAD588}"/>
            </a:ext>
          </a:extLst>
        </xdr:cNvPr>
        <xdr:cNvSpPr txBox="1">
          <a:spLocks noChangeArrowheads="1"/>
        </xdr:cNvSpPr>
      </xdr:nvSpPr>
      <xdr:spPr bwMode="auto">
        <a:xfrm>
          <a:off x="4257675" y="95030925"/>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311" name="Text Box 3">
          <a:extLst>
            <a:ext uri="{FF2B5EF4-FFF2-40B4-BE49-F238E27FC236}">
              <a16:creationId xmlns:a16="http://schemas.microsoft.com/office/drawing/2014/main" id="{6E110807-A419-4ABF-BAF1-A7BC87BB0DFA}"/>
            </a:ext>
          </a:extLst>
        </xdr:cNvPr>
        <xdr:cNvSpPr txBox="1">
          <a:spLocks noChangeArrowheads="1"/>
        </xdr:cNvSpPr>
      </xdr:nvSpPr>
      <xdr:spPr bwMode="auto">
        <a:xfrm>
          <a:off x="4257675" y="95030925"/>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312" name="Text Box 3">
          <a:extLst>
            <a:ext uri="{FF2B5EF4-FFF2-40B4-BE49-F238E27FC236}">
              <a16:creationId xmlns:a16="http://schemas.microsoft.com/office/drawing/2014/main" id="{074516C0-8918-4278-A11C-F3DC767C195E}"/>
            </a:ext>
          </a:extLst>
        </xdr:cNvPr>
        <xdr:cNvSpPr txBox="1">
          <a:spLocks noChangeArrowheads="1"/>
        </xdr:cNvSpPr>
      </xdr:nvSpPr>
      <xdr:spPr bwMode="auto">
        <a:xfrm>
          <a:off x="4257675" y="95030925"/>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313" name="Text Box 3">
          <a:extLst>
            <a:ext uri="{FF2B5EF4-FFF2-40B4-BE49-F238E27FC236}">
              <a16:creationId xmlns:a16="http://schemas.microsoft.com/office/drawing/2014/main" id="{0D36BCED-8B01-4FAA-97C7-D72295E4F14C}"/>
            </a:ext>
          </a:extLst>
        </xdr:cNvPr>
        <xdr:cNvSpPr txBox="1">
          <a:spLocks noChangeArrowheads="1"/>
        </xdr:cNvSpPr>
      </xdr:nvSpPr>
      <xdr:spPr bwMode="auto">
        <a:xfrm>
          <a:off x="4257675" y="95030925"/>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314" name="Text Box 3">
          <a:extLst>
            <a:ext uri="{FF2B5EF4-FFF2-40B4-BE49-F238E27FC236}">
              <a16:creationId xmlns:a16="http://schemas.microsoft.com/office/drawing/2014/main" id="{9032FF71-E905-4A36-B478-76721506B3D7}"/>
            </a:ext>
          </a:extLst>
        </xdr:cNvPr>
        <xdr:cNvSpPr txBox="1">
          <a:spLocks noChangeArrowheads="1"/>
        </xdr:cNvSpPr>
      </xdr:nvSpPr>
      <xdr:spPr bwMode="auto">
        <a:xfrm>
          <a:off x="4257675" y="95030925"/>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315" name="Text Box 3">
          <a:extLst>
            <a:ext uri="{FF2B5EF4-FFF2-40B4-BE49-F238E27FC236}">
              <a16:creationId xmlns:a16="http://schemas.microsoft.com/office/drawing/2014/main" id="{8271E757-5DDE-4B02-A6A2-19F5C7EA3C8A}"/>
            </a:ext>
          </a:extLst>
        </xdr:cNvPr>
        <xdr:cNvSpPr txBox="1">
          <a:spLocks noChangeArrowheads="1"/>
        </xdr:cNvSpPr>
      </xdr:nvSpPr>
      <xdr:spPr bwMode="auto">
        <a:xfrm>
          <a:off x="4257675" y="95030925"/>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316" name="Text Box 3">
          <a:extLst>
            <a:ext uri="{FF2B5EF4-FFF2-40B4-BE49-F238E27FC236}">
              <a16:creationId xmlns:a16="http://schemas.microsoft.com/office/drawing/2014/main" id="{1EF76E4C-3DD7-45A0-8897-088357ACA7B8}"/>
            </a:ext>
          </a:extLst>
        </xdr:cNvPr>
        <xdr:cNvSpPr txBox="1">
          <a:spLocks noChangeArrowheads="1"/>
        </xdr:cNvSpPr>
      </xdr:nvSpPr>
      <xdr:spPr bwMode="auto">
        <a:xfrm>
          <a:off x="4257675" y="95030925"/>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317" name="Text Box 3">
          <a:extLst>
            <a:ext uri="{FF2B5EF4-FFF2-40B4-BE49-F238E27FC236}">
              <a16:creationId xmlns:a16="http://schemas.microsoft.com/office/drawing/2014/main" id="{22DB501E-CC2B-4786-8AF1-8C99EA80C421}"/>
            </a:ext>
          </a:extLst>
        </xdr:cNvPr>
        <xdr:cNvSpPr txBox="1">
          <a:spLocks noChangeArrowheads="1"/>
        </xdr:cNvSpPr>
      </xdr:nvSpPr>
      <xdr:spPr bwMode="auto">
        <a:xfrm>
          <a:off x="4257675" y="95030925"/>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318" name="Text Box 3">
          <a:extLst>
            <a:ext uri="{FF2B5EF4-FFF2-40B4-BE49-F238E27FC236}">
              <a16:creationId xmlns:a16="http://schemas.microsoft.com/office/drawing/2014/main" id="{B53E4F01-ECDF-4165-A2D4-A4CD1A697B76}"/>
            </a:ext>
          </a:extLst>
        </xdr:cNvPr>
        <xdr:cNvSpPr txBox="1">
          <a:spLocks noChangeArrowheads="1"/>
        </xdr:cNvSpPr>
      </xdr:nvSpPr>
      <xdr:spPr bwMode="auto">
        <a:xfrm>
          <a:off x="4257675" y="95030925"/>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319" name="Text Box 3">
          <a:extLst>
            <a:ext uri="{FF2B5EF4-FFF2-40B4-BE49-F238E27FC236}">
              <a16:creationId xmlns:a16="http://schemas.microsoft.com/office/drawing/2014/main" id="{63EAB01B-E6F1-497A-ADB6-D9DE0FFCC0C9}"/>
            </a:ext>
          </a:extLst>
        </xdr:cNvPr>
        <xdr:cNvSpPr txBox="1">
          <a:spLocks noChangeArrowheads="1"/>
        </xdr:cNvSpPr>
      </xdr:nvSpPr>
      <xdr:spPr bwMode="auto">
        <a:xfrm>
          <a:off x="4257675" y="95030925"/>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320" name="Text Box 3">
          <a:extLst>
            <a:ext uri="{FF2B5EF4-FFF2-40B4-BE49-F238E27FC236}">
              <a16:creationId xmlns:a16="http://schemas.microsoft.com/office/drawing/2014/main" id="{F5D2B646-AF94-427B-88FE-EF060DF2CEEA}"/>
            </a:ext>
          </a:extLst>
        </xdr:cNvPr>
        <xdr:cNvSpPr txBox="1">
          <a:spLocks noChangeArrowheads="1"/>
        </xdr:cNvSpPr>
      </xdr:nvSpPr>
      <xdr:spPr bwMode="auto">
        <a:xfrm>
          <a:off x="4257675" y="95030925"/>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321" name="Text Box 3">
          <a:extLst>
            <a:ext uri="{FF2B5EF4-FFF2-40B4-BE49-F238E27FC236}">
              <a16:creationId xmlns:a16="http://schemas.microsoft.com/office/drawing/2014/main" id="{018FB3B1-3509-43FC-9FFA-33A0762DD38C}"/>
            </a:ext>
          </a:extLst>
        </xdr:cNvPr>
        <xdr:cNvSpPr txBox="1">
          <a:spLocks noChangeArrowheads="1"/>
        </xdr:cNvSpPr>
      </xdr:nvSpPr>
      <xdr:spPr bwMode="auto">
        <a:xfrm>
          <a:off x="4257675" y="95030925"/>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322" name="Text Box 3">
          <a:extLst>
            <a:ext uri="{FF2B5EF4-FFF2-40B4-BE49-F238E27FC236}">
              <a16:creationId xmlns:a16="http://schemas.microsoft.com/office/drawing/2014/main" id="{8BB9488C-EBDB-460B-A1A2-2078B357FE3A}"/>
            </a:ext>
          </a:extLst>
        </xdr:cNvPr>
        <xdr:cNvSpPr txBox="1">
          <a:spLocks noChangeArrowheads="1"/>
        </xdr:cNvSpPr>
      </xdr:nvSpPr>
      <xdr:spPr bwMode="auto">
        <a:xfrm>
          <a:off x="4257675" y="95030925"/>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323" name="Text Box 3">
          <a:extLst>
            <a:ext uri="{FF2B5EF4-FFF2-40B4-BE49-F238E27FC236}">
              <a16:creationId xmlns:a16="http://schemas.microsoft.com/office/drawing/2014/main" id="{E70258EC-1E16-4E9B-BF78-A29895CC91E8}"/>
            </a:ext>
          </a:extLst>
        </xdr:cNvPr>
        <xdr:cNvSpPr txBox="1">
          <a:spLocks noChangeArrowheads="1"/>
        </xdr:cNvSpPr>
      </xdr:nvSpPr>
      <xdr:spPr bwMode="auto">
        <a:xfrm>
          <a:off x="4257675" y="95030925"/>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324" name="Text Box 3">
          <a:extLst>
            <a:ext uri="{FF2B5EF4-FFF2-40B4-BE49-F238E27FC236}">
              <a16:creationId xmlns:a16="http://schemas.microsoft.com/office/drawing/2014/main" id="{EB235689-081B-4DE0-AEF1-B89A90164691}"/>
            </a:ext>
          </a:extLst>
        </xdr:cNvPr>
        <xdr:cNvSpPr txBox="1">
          <a:spLocks noChangeArrowheads="1"/>
        </xdr:cNvSpPr>
      </xdr:nvSpPr>
      <xdr:spPr bwMode="auto">
        <a:xfrm>
          <a:off x="4257675" y="95030925"/>
          <a:ext cx="76200" cy="200025"/>
        </a:xfrm>
        <a:prstGeom prst="rect">
          <a:avLst/>
        </a:prstGeom>
        <a:noFill/>
        <a:ln w="9525">
          <a:noFill/>
          <a:miter lim="800000"/>
          <a:headEnd/>
          <a:tailEnd/>
        </a:ln>
      </xdr:spPr>
    </xdr:sp>
    <xdr:clientData/>
  </xdr:oneCellAnchor>
  <xdr:oneCellAnchor>
    <xdr:from>
      <xdr:col>6</xdr:col>
      <xdr:colOff>590550</xdr:colOff>
      <xdr:row>578</xdr:row>
      <xdr:rowOff>0</xdr:rowOff>
    </xdr:from>
    <xdr:ext cx="76200" cy="200025"/>
    <xdr:sp macro="" textlink="">
      <xdr:nvSpPr>
        <xdr:cNvPr id="325" name="Text Box 3">
          <a:extLst>
            <a:ext uri="{FF2B5EF4-FFF2-40B4-BE49-F238E27FC236}">
              <a16:creationId xmlns:a16="http://schemas.microsoft.com/office/drawing/2014/main" id="{20205434-4B4C-4D60-B8BB-BC24A8D586FB}"/>
            </a:ext>
          </a:extLst>
        </xdr:cNvPr>
        <xdr:cNvSpPr txBox="1">
          <a:spLocks noChangeArrowheads="1"/>
        </xdr:cNvSpPr>
      </xdr:nvSpPr>
      <xdr:spPr bwMode="auto">
        <a:xfrm>
          <a:off x="4257675" y="95392875"/>
          <a:ext cx="76200" cy="200025"/>
        </a:xfrm>
        <a:prstGeom prst="rect">
          <a:avLst/>
        </a:prstGeom>
        <a:noFill/>
        <a:ln w="9525">
          <a:noFill/>
          <a:miter lim="800000"/>
          <a:headEnd/>
          <a:tailEnd/>
        </a:ln>
      </xdr:spPr>
    </xdr:sp>
    <xdr:clientData/>
  </xdr:oneCellAnchor>
  <xdr:oneCellAnchor>
    <xdr:from>
      <xdr:col>0</xdr:col>
      <xdr:colOff>0</xdr:colOff>
      <xdr:row>578</xdr:row>
      <xdr:rowOff>0</xdr:rowOff>
    </xdr:from>
    <xdr:ext cx="28575" cy="104775"/>
    <xdr:sp macro="" textlink="">
      <xdr:nvSpPr>
        <xdr:cNvPr id="326" name="Text Box 4">
          <a:extLst>
            <a:ext uri="{FF2B5EF4-FFF2-40B4-BE49-F238E27FC236}">
              <a16:creationId xmlns:a16="http://schemas.microsoft.com/office/drawing/2014/main" id="{77F49BDD-3FF1-40B9-8C62-F26BE4FCE9E5}"/>
            </a:ext>
          </a:extLst>
        </xdr:cNvPr>
        <xdr:cNvSpPr txBox="1">
          <a:spLocks noChangeArrowheads="1"/>
        </xdr:cNvSpPr>
      </xdr:nvSpPr>
      <xdr:spPr bwMode="auto">
        <a:xfrm>
          <a:off x="0" y="95392875"/>
          <a:ext cx="28575" cy="104775"/>
        </a:xfrm>
        <a:prstGeom prst="rect">
          <a:avLst/>
        </a:prstGeom>
        <a:noFill/>
        <a:ln w="9525">
          <a:noFill/>
          <a:miter lim="800000"/>
          <a:headEnd/>
          <a:tailEnd/>
        </a:ln>
      </xdr:spPr>
    </xdr:sp>
    <xdr:clientData/>
  </xdr:oneCellAnchor>
  <xdr:oneCellAnchor>
    <xdr:from>
      <xdr:col>6</xdr:col>
      <xdr:colOff>590550</xdr:colOff>
      <xdr:row>577</xdr:row>
      <xdr:rowOff>0</xdr:rowOff>
    </xdr:from>
    <xdr:ext cx="76200" cy="196850"/>
    <xdr:sp macro="" textlink="">
      <xdr:nvSpPr>
        <xdr:cNvPr id="327" name="Text Box 3">
          <a:extLst>
            <a:ext uri="{FF2B5EF4-FFF2-40B4-BE49-F238E27FC236}">
              <a16:creationId xmlns:a16="http://schemas.microsoft.com/office/drawing/2014/main" id="{B0F21E85-59DA-4C76-8AF6-8684C4E2E336}"/>
            </a:ext>
          </a:extLst>
        </xdr:cNvPr>
        <xdr:cNvSpPr txBox="1">
          <a:spLocks noChangeArrowheads="1"/>
        </xdr:cNvSpPr>
      </xdr:nvSpPr>
      <xdr:spPr bwMode="auto">
        <a:xfrm>
          <a:off x="4257675" y="95192850"/>
          <a:ext cx="76200" cy="196850"/>
        </a:xfrm>
        <a:prstGeom prst="rect">
          <a:avLst/>
        </a:prstGeom>
        <a:noFill/>
        <a:ln w="9525">
          <a:noFill/>
          <a:miter lim="800000"/>
          <a:headEnd/>
          <a:tailEnd/>
        </a:ln>
      </xdr:spPr>
    </xdr:sp>
    <xdr:clientData/>
  </xdr:oneCellAnchor>
  <xdr:oneCellAnchor>
    <xdr:from>
      <xdr:col>0</xdr:col>
      <xdr:colOff>0</xdr:colOff>
      <xdr:row>577</xdr:row>
      <xdr:rowOff>0</xdr:rowOff>
    </xdr:from>
    <xdr:ext cx="28575" cy="104775"/>
    <xdr:sp macro="" textlink="">
      <xdr:nvSpPr>
        <xdr:cNvPr id="328" name="Text Box 4">
          <a:extLst>
            <a:ext uri="{FF2B5EF4-FFF2-40B4-BE49-F238E27FC236}">
              <a16:creationId xmlns:a16="http://schemas.microsoft.com/office/drawing/2014/main" id="{CC851560-099D-412F-B943-ADB06A8E2991}"/>
            </a:ext>
          </a:extLst>
        </xdr:cNvPr>
        <xdr:cNvSpPr txBox="1">
          <a:spLocks noChangeArrowheads="1"/>
        </xdr:cNvSpPr>
      </xdr:nvSpPr>
      <xdr:spPr bwMode="auto">
        <a:xfrm>
          <a:off x="0" y="95192850"/>
          <a:ext cx="28575" cy="10477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329" name="Text Box 3">
          <a:extLst>
            <a:ext uri="{FF2B5EF4-FFF2-40B4-BE49-F238E27FC236}">
              <a16:creationId xmlns:a16="http://schemas.microsoft.com/office/drawing/2014/main" id="{557EB6A9-9C92-4893-B474-BF3566A8150E}"/>
            </a:ext>
          </a:extLst>
        </xdr:cNvPr>
        <xdr:cNvSpPr txBox="1">
          <a:spLocks noChangeArrowheads="1"/>
        </xdr:cNvSpPr>
      </xdr:nvSpPr>
      <xdr:spPr bwMode="auto">
        <a:xfrm>
          <a:off x="4257675" y="104603550"/>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330" name="Text Box 3">
          <a:extLst>
            <a:ext uri="{FF2B5EF4-FFF2-40B4-BE49-F238E27FC236}">
              <a16:creationId xmlns:a16="http://schemas.microsoft.com/office/drawing/2014/main" id="{04BE16B6-BD18-41EA-A18C-909AA1C15E8A}"/>
            </a:ext>
          </a:extLst>
        </xdr:cNvPr>
        <xdr:cNvSpPr txBox="1">
          <a:spLocks noChangeArrowheads="1"/>
        </xdr:cNvSpPr>
      </xdr:nvSpPr>
      <xdr:spPr bwMode="auto">
        <a:xfrm>
          <a:off x="4257675" y="104603550"/>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331" name="Text Box 3">
          <a:extLst>
            <a:ext uri="{FF2B5EF4-FFF2-40B4-BE49-F238E27FC236}">
              <a16:creationId xmlns:a16="http://schemas.microsoft.com/office/drawing/2014/main" id="{156C938D-F4A4-494E-A918-7EC0E6616BC7}"/>
            </a:ext>
          </a:extLst>
        </xdr:cNvPr>
        <xdr:cNvSpPr txBox="1">
          <a:spLocks noChangeArrowheads="1"/>
        </xdr:cNvSpPr>
      </xdr:nvSpPr>
      <xdr:spPr bwMode="auto">
        <a:xfrm>
          <a:off x="4257675" y="104603550"/>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332" name="Text Box 3">
          <a:extLst>
            <a:ext uri="{FF2B5EF4-FFF2-40B4-BE49-F238E27FC236}">
              <a16:creationId xmlns:a16="http://schemas.microsoft.com/office/drawing/2014/main" id="{353ED7D4-6B63-4963-8BC2-8C41989989BB}"/>
            </a:ext>
          </a:extLst>
        </xdr:cNvPr>
        <xdr:cNvSpPr txBox="1">
          <a:spLocks noChangeArrowheads="1"/>
        </xdr:cNvSpPr>
      </xdr:nvSpPr>
      <xdr:spPr bwMode="auto">
        <a:xfrm>
          <a:off x="4257675" y="104603550"/>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333" name="Text Box 3">
          <a:extLst>
            <a:ext uri="{FF2B5EF4-FFF2-40B4-BE49-F238E27FC236}">
              <a16:creationId xmlns:a16="http://schemas.microsoft.com/office/drawing/2014/main" id="{CCDB135B-45E2-469A-9E71-A9A1A36801E1}"/>
            </a:ext>
          </a:extLst>
        </xdr:cNvPr>
        <xdr:cNvSpPr txBox="1">
          <a:spLocks noChangeArrowheads="1"/>
        </xdr:cNvSpPr>
      </xdr:nvSpPr>
      <xdr:spPr bwMode="auto">
        <a:xfrm>
          <a:off x="4257675" y="104603550"/>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334" name="Text Box 3">
          <a:extLst>
            <a:ext uri="{FF2B5EF4-FFF2-40B4-BE49-F238E27FC236}">
              <a16:creationId xmlns:a16="http://schemas.microsoft.com/office/drawing/2014/main" id="{D18D4EED-8A14-4AB1-9340-2CA0622C7556}"/>
            </a:ext>
          </a:extLst>
        </xdr:cNvPr>
        <xdr:cNvSpPr txBox="1">
          <a:spLocks noChangeArrowheads="1"/>
        </xdr:cNvSpPr>
      </xdr:nvSpPr>
      <xdr:spPr bwMode="auto">
        <a:xfrm>
          <a:off x="4257675" y="104603550"/>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335" name="Text Box 3">
          <a:extLst>
            <a:ext uri="{FF2B5EF4-FFF2-40B4-BE49-F238E27FC236}">
              <a16:creationId xmlns:a16="http://schemas.microsoft.com/office/drawing/2014/main" id="{B10685FB-D6D1-4264-A4F2-937AD224EA89}"/>
            </a:ext>
          </a:extLst>
        </xdr:cNvPr>
        <xdr:cNvSpPr txBox="1">
          <a:spLocks noChangeArrowheads="1"/>
        </xdr:cNvSpPr>
      </xdr:nvSpPr>
      <xdr:spPr bwMode="auto">
        <a:xfrm>
          <a:off x="4257675" y="104603550"/>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336" name="Text Box 3">
          <a:extLst>
            <a:ext uri="{FF2B5EF4-FFF2-40B4-BE49-F238E27FC236}">
              <a16:creationId xmlns:a16="http://schemas.microsoft.com/office/drawing/2014/main" id="{FC00D57B-3632-4250-AB5E-43CA140762FE}"/>
            </a:ext>
          </a:extLst>
        </xdr:cNvPr>
        <xdr:cNvSpPr txBox="1">
          <a:spLocks noChangeArrowheads="1"/>
        </xdr:cNvSpPr>
      </xdr:nvSpPr>
      <xdr:spPr bwMode="auto">
        <a:xfrm>
          <a:off x="4257675" y="104603550"/>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337" name="Text Box 3">
          <a:extLst>
            <a:ext uri="{FF2B5EF4-FFF2-40B4-BE49-F238E27FC236}">
              <a16:creationId xmlns:a16="http://schemas.microsoft.com/office/drawing/2014/main" id="{B6C88DE2-EE59-40CD-A216-6A67CA1DA46A}"/>
            </a:ext>
          </a:extLst>
        </xdr:cNvPr>
        <xdr:cNvSpPr txBox="1">
          <a:spLocks noChangeArrowheads="1"/>
        </xdr:cNvSpPr>
      </xdr:nvSpPr>
      <xdr:spPr bwMode="auto">
        <a:xfrm>
          <a:off x="4257675" y="104603550"/>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338" name="Text Box 3">
          <a:extLst>
            <a:ext uri="{FF2B5EF4-FFF2-40B4-BE49-F238E27FC236}">
              <a16:creationId xmlns:a16="http://schemas.microsoft.com/office/drawing/2014/main" id="{23A2AA59-B5AD-4C7A-B0DD-9C848213EB8B}"/>
            </a:ext>
          </a:extLst>
        </xdr:cNvPr>
        <xdr:cNvSpPr txBox="1">
          <a:spLocks noChangeArrowheads="1"/>
        </xdr:cNvSpPr>
      </xdr:nvSpPr>
      <xdr:spPr bwMode="auto">
        <a:xfrm>
          <a:off x="4257675" y="104603550"/>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339" name="Text Box 3">
          <a:extLst>
            <a:ext uri="{FF2B5EF4-FFF2-40B4-BE49-F238E27FC236}">
              <a16:creationId xmlns:a16="http://schemas.microsoft.com/office/drawing/2014/main" id="{C97F8A21-2E9D-44D3-9A70-9CE1D3CD87AF}"/>
            </a:ext>
          </a:extLst>
        </xdr:cNvPr>
        <xdr:cNvSpPr txBox="1">
          <a:spLocks noChangeArrowheads="1"/>
        </xdr:cNvSpPr>
      </xdr:nvSpPr>
      <xdr:spPr bwMode="auto">
        <a:xfrm>
          <a:off x="4257675" y="104603550"/>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340" name="Text Box 3">
          <a:extLst>
            <a:ext uri="{FF2B5EF4-FFF2-40B4-BE49-F238E27FC236}">
              <a16:creationId xmlns:a16="http://schemas.microsoft.com/office/drawing/2014/main" id="{D504A621-5974-4EF0-B3C3-F806AE0D4D13}"/>
            </a:ext>
          </a:extLst>
        </xdr:cNvPr>
        <xdr:cNvSpPr txBox="1">
          <a:spLocks noChangeArrowheads="1"/>
        </xdr:cNvSpPr>
      </xdr:nvSpPr>
      <xdr:spPr bwMode="auto">
        <a:xfrm>
          <a:off x="4257675" y="104603550"/>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341" name="Text Box 3">
          <a:extLst>
            <a:ext uri="{FF2B5EF4-FFF2-40B4-BE49-F238E27FC236}">
              <a16:creationId xmlns:a16="http://schemas.microsoft.com/office/drawing/2014/main" id="{137C7AD7-7CD1-4AD7-979B-BD6A32BD57B6}"/>
            </a:ext>
          </a:extLst>
        </xdr:cNvPr>
        <xdr:cNvSpPr txBox="1">
          <a:spLocks noChangeArrowheads="1"/>
        </xdr:cNvSpPr>
      </xdr:nvSpPr>
      <xdr:spPr bwMode="auto">
        <a:xfrm>
          <a:off x="4257675" y="104603550"/>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342" name="Text Box 3">
          <a:extLst>
            <a:ext uri="{FF2B5EF4-FFF2-40B4-BE49-F238E27FC236}">
              <a16:creationId xmlns:a16="http://schemas.microsoft.com/office/drawing/2014/main" id="{3147FA28-DA1B-474D-AC1E-EA6A24C87886}"/>
            </a:ext>
          </a:extLst>
        </xdr:cNvPr>
        <xdr:cNvSpPr txBox="1">
          <a:spLocks noChangeArrowheads="1"/>
        </xdr:cNvSpPr>
      </xdr:nvSpPr>
      <xdr:spPr bwMode="auto">
        <a:xfrm>
          <a:off x="4257675" y="104603550"/>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343" name="Text Box 3">
          <a:extLst>
            <a:ext uri="{FF2B5EF4-FFF2-40B4-BE49-F238E27FC236}">
              <a16:creationId xmlns:a16="http://schemas.microsoft.com/office/drawing/2014/main" id="{FE3D36F5-FD68-4EBC-84BC-72C1921914B8}"/>
            </a:ext>
          </a:extLst>
        </xdr:cNvPr>
        <xdr:cNvSpPr txBox="1">
          <a:spLocks noChangeArrowheads="1"/>
        </xdr:cNvSpPr>
      </xdr:nvSpPr>
      <xdr:spPr bwMode="auto">
        <a:xfrm>
          <a:off x="4257675" y="104603550"/>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344" name="Text Box 3">
          <a:extLst>
            <a:ext uri="{FF2B5EF4-FFF2-40B4-BE49-F238E27FC236}">
              <a16:creationId xmlns:a16="http://schemas.microsoft.com/office/drawing/2014/main" id="{31B5FBED-4960-4470-B765-1BAEAFD14C97}"/>
            </a:ext>
          </a:extLst>
        </xdr:cNvPr>
        <xdr:cNvSpPr txBox="1">
          <a:spLocks noChangeArrowheads="1"/>
        </xdr:cNvSpPr>
      </xdr:nvSpPr>
      <xdr:spPr bwMode="auto">
        <a:xfrm>
          <a:off x="4257675" y="104603550"/>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345" name="Text Box 3">
          <a:extLst>
            <a:ext uri="{FF2B5EF4-FFF2-40B4-BE49-F238E27FC236}">
              <a16:creationId xmlns:a16="http://schemas.microsoft.com/office/drawing/2014/main" id="{54C7E4DC-144A-4F8B-B887-490CFF4A50D9}"/>
            </a:ext>
          </a:extLst>
        </xdr:cNvPr>
        <xdr:cNvSpPr txBox="1">
          <a:spLocks noChangeArrowheads="1"/>
        </xdr:cNvSpPr>
      </xdr:nvSpPr>
      <xdr:spPr bwMode="auto">
        <a:xfrm>
          <a:off x="4257675" y="104603550"/>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346" name="Text Box 3">
          <a:extLst>
            <a:ext uri="{FF2B5EF4-FFF2-40B4-BE49-F238E27FC236}">
              <a16:creationId xmlns:a16="http://schemas.microsoft.com/office/drawing/2014/main" id="{22003BF7-0ABE-40DE-BC43-0AF088A221FE}"/>
            </a:ext>
          </a:extLst>
        </xdr:cNvPr>
        <xdr:cNvSpPr txBox="1">
          <a:spLocks noChangeArrowheads="1"/>
        </xdr:cNvSpPr>
      </xdr:nvSpPr>
      <xdr:spPr bwMode="auto">
        <a:xfrm>
          <a:off x="4257675" y="104603550"/>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347" name="Text Box 3">
          <a:extLst>
            <a:ext uri="{FF2B5EF4-FFF2-40B4-BE49-F238E27FC236}">
              <a16:creationId xmlns:a16="http://schemas.microsoft.com/office/drawing/2014/main" id="{420BC64A-4681-4AB4-8CE0-AD49A0030C74}"/>
            </a:ext>
          </a:extLst>
        </xdr:cNvPr>
        <xdr:cNvSpPr txBox="1">
          <a:spLocks noChangeArrowheads="1"/>
        </xdr:cNvSpPr>
      </xdr:nvSpPr>
      <xdr:spPr bwMode="auto">
        <a:xfrm>
          <a:off x="4257675" y="104603550"/>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348" name="Text Box 3">
          <a:extLst>
            <a:ext uri="{FF2B5EF4-FFF2-40B4-BE49-F238E27FC236}">
              <a16:creationId xmlns:a16="http://schemas.microsoft.com/office/drawing/2014/main" id="{450D1E9A-DB8D-44A7-8932-9CD75CE6AFB4}"/>
            </a:ext>
          </a:extLst>
        </xdr:cNvPr>
        <xdr:cNvSpPr txBox="1">
          <a:spLocks noChangeArrowheads="1"/>
        </xdr:cNvSpPr>
      </xdr:nvSpPr>
      <xdr:spPr bwMode="auto">
        <a:xfrm>
          <a:off x="4257675" y="104603550"/>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349" name="Text Box 3">
          <a:extLst>
            <a:ext uri="{FF2B5EF4-FFF2-40B4-BE49-F238E27FC236}">
              <a16:creationId xmlns:a16="http://schemas.microsoft.com/office/drawing/2014/main" id="{41233F59-357B-4519-A59A-B90319B50753}"/>
            </a:ext>
          </a:extLst>
        </xdr:cNvPr>
        <xdr:cNvSpPr txBox="1">
          <a:spLocks noChangeArrowheads="1"/>
        </xdr:cNvSpPr>
      </xdr:nvSpPr>
      <xdr:spPr bwMode="auto">
        <a:xfrm>
          <a:off x="4257675" y="104603550"/>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350" name="Text Box 3">
          <a:extLst>
            <a:ext uri="{FF2B5EF4-FFF2-40B4-BE49-F238E27FC236}">
              <a16:creationId xmlns:a16="http://schemas.microsoft.com/office/drawing/2014/main" id="{098231BC-2FCF-4547-BF42-56F047C07F1F}"/>
            </a:ext>
          </a:extLst>
        </xdr:cNvPr>
        <xdr:cNvSpPr txBox="1">
          <a:spLocks noChangeArrowheads="1"/>
        </xdr:cNvSpPr>
      </xdr:nvSpPr>
      <xdr:spPr bwMode="auto">
        <a:xfrm>
          <a:off x="4257675" y="104603550"/>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351" name="Text Box 3">
          <a:extLst>
            <a:ext uri="{FF2B5EF4-FFF2-40B4-BE49-F238E27FC236}">
              <a16:creationId xmlns:a16="http://schemas.microsoft.com/office/drawing/2014/main" id="{E09F6A33-5BB1-471C-AE21-585409BECCB1}"/>
            </a:ext>
          </a:extLst>
        </xdr:cNvPr>
        <xdr:cNvSpPr txBox="1">
          <a:spLocks noChangeArrowheads="1"/>
        </xdr:cNvSpPr>
      </xdr:nvSpPr>
      <xdr:spPr bwMode="auto">
        <a:xfrm>
          <a:off x="4257675" y="104603550"/>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352" name="Text Box 3">
          <a:extLst>
            <a:ext uri="{FF2B5EF4-FFF2-40B4-BE49-F238E27FC236}">
              <a16:creationId xmlns:a16="http://schemas.microsoft.com/office/drawing/2014/main" id="{4FAE8C7A-049B-4660-B40C-8A8805573D45}"/>
            </a:ext>
          </a:extLst>
        </xdr:cNvPr>
        <xdr:cNvSpPr txBox="1">
          <a:spLocks noChangeArrowheads="1"/>
        </xdr:cNvSpPr>
      </xdr:nvSpPr>
      <xdr:spPr bwMode="auto">
        <a:xfrm>
          <a:off x="4257675" y="104603550"/>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353" name="Text Box 3">
          <a:extLst>
            <a:ext uri="{FF2B5EF4-FFF2-40B4-BE49-F238E27FC236}">
              <a16:creationId xmlns:a16="http://schemas.microsoft.com/office/drawing/2014/main" id="{8320C781-AEED-450C-8643-6000BE962FD2}"/>
            </a:ext>
          </a:extLst>
        </xdr:cNvPr>
        <xdr:cNvSpPr txBox="1">
          <a:spLocks noChangeArrowheads="1"/>
        </xdr:cNvSpPr>
      </xdr:nvSpPr>
      <xdr:spPr bwMode="auto">
        <a:xfrm>
          <a:off x="4257675" y="104603550"/>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354" name="Text Box 3">
          <a:extLst>
            <a:ext uri="{FF2B5EF4-FFF2-40B4-BE49-F238E27FC236}">
              <a16:creationId xmlns:a16="http://schemas.microsoft.com/office/drawing/2014/main" id="{6703F709-C94B-4772-A9F1-F465C4902AAD}"/>
            </a:ext>
          </a:extLst>
        </xdr:cNvPr>
        <xdr:cNvSpPr txBox="1">
          <a:spLocks noChangeArrowheads="1"/>
        </xdr:cNvSpPr>
      </xdr:nvSpPr>
      <xdr:spPr bwMode="auto">
        <a:xfrm>
          <a:off x="4257675" y="104603550"/>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355" name="Text Box 3">
          <a:extLst>
            <a:ext uri="{FF2B5EF4-FFF2-40B4-BE49-F238E27FC236}">
              <a16:creationId xmlns:a16="http://schemas.microsoft.com/office/drawing/2014/main" id="{2FC72D65-F8C2-4D4A-9E0A-3D5882BD5569}"/>
            </a:ext>
          </a:extLst>
        </xdr:cNvPr>
        <xdr:cNvSpPr txBox="1">
          <a:spLocks noChangeArrowheads="1"/>
        </xdr:cNvSpPr>
      </xdr:nvSpPr>
      <xdr:spPr bwMode="auto">
        <a:xfrm>
          <a:off x="4257675" y="104603550"/>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356" name="Text Box 3">
          <a:extLst>
            <a:ext uri="{FF2B5EF4-FFF2-40B4-BE49-F238E27FC236}">
              <a16:creationId xmlns:a16="http://schemas.microsoft.com/office/drawing/2014/main" id="{EE3982BA-7F40-4788-AF47-CE268AA63CC0}"/>
            </a:ext>
          </a:extLst>
        </xdr:cNvPr>
        <xdr:cNvSpPr txBox="1">
          <a:spLocks noChangeArrowheads="1"/>
        </xdr:cNvSpPr>
      </xdr:nvSpPr>
      <xdr:spPr bwMode="auto">
        <a:xfrm>
          <a:off x="4257675" y="104603550"/>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357" name="Text Box 3">
          <a:extLst>
            <a:ext uri="{FF2B5EF4-FFF2-40B4-BE49-F238E27FC236}">
              <a16:creationId xmlns:a16="http://schemas.microsoft.com/office/drawing/2014/main" id="{A8DF1569-F695-4DD3-B2F5-DB940876322E}"/>
            </a:ext>
          </a:extLst>
        </xdr:cNvPr>
        <xdr:cNvSpPr txBox="1">
          <a:spLocks noChangeArrowheads="1"/>
        </xdr:cNvSpPr>
      </xdr:nvSpPr>
      <xdr:spPr bwMode="auto">
        <a:xfrm>
          <a:off x="4257675" y="104603550"/>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358" name="Text Box 3">
          <a:extLst>
            <a:ext uri="{FF2B5EF4-FFF2-40B4-BE49-F238E27FC236}">
              <a16:creationId xmlns:a16="http://schemas.microsoft.com/office/drawing/2014/main" id="{251B546E-8F9D-4556-9CCE-E5531A34E64E}"/>
            </a:ext>
          </a:extLst>
        </xdr:cNvPr>
        <xdr:cNvSpPr txBox="1">
          <a:spLocks noChangeArrowheads="1"/>
        </xdr:cNvSpPr>
      </xdr:nvSpPr>
      <xdr:spPr bwMode="auto">
        <a:xfrm>
          <a:off x="4257675" y="104603550"/>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359" name="Text Box 3">
          <a:extLst>
            <a:ext uri="{FF2B5EF4-FFF2-40B4-BE49-F238E27FC236}">
              <a16:creationId xmlns:a16="http://schemas.microsoft.com/office/drawing/2014/main" id="{798ACF80-B5A5-48BA-9AB4-619D12FED278}"/>
            </a:ext>
          </a:extLst>
        </xdr:cNvPr>
        <xdr:cNvSpPr txBox="1">
          <a:spLocks noChangeArrowheads="1"/>
        </xdr:cNvSpPr>
      </xdr:nvSpPr>
      <xdr:spPr bwMode="auto">
        <a:xfrm>
          <a:off x="4257675" y="104603550"/>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360" name="Text Box 3">
          <a:extLst>
            <a:ext uri="{FF2B5EF4-FFF2-40B4-BE49-F238E27FC236}">
              <a16:creationId xmlns:a16="http://schemas.microsoft.com/office/drawing/2014/main" id="{531761A9-14CE-499A-BD6D-EECE5AD4FD2D}"/>
            </a:ext>
          </a:extLst>
        </xdr:cNvPr>
        <xdr:cNvSpPr txBox="1">
          <a:spLocks noChangeArrowheads="1"/>
        </xdr:cNvSpPr>
      </xdr:nvSpPr>
      <xdr:spPr bwMode="auto">
        <a:xfrm>
          <a:off x="4257675" y="104603550"/>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361" name="Text Box 3">
          <a:extLst>
            <a:ext uri="{FF2B5EF4-FFF2-40B4-BE49-F238E27FC236}">
              <a16:creationId xmlns:a16="http://schemas.microsoft.com/office/drawing/2014/main" id="{69554286-8C84-442D-B92D-126F4F7837F2}"/>
            </a:ext>
          </a:extLst>
        </xdr:cNvPr>
        <xdr:cNvSpPr txBox="1">
          <a:spLocks noChangeArrowheads="1"/>
        </xdr:cNvSpPr>
      </xdr:nvSpPr>
      <xdr:spPr bwMode="auto">
        <a:xfrm>
          <a:off x="4257675" y="104603550"/>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362" name="Text Box 3">
          <a:extLst>
            <a:ext uri="{FF2B5EF4-FFF2-40B4-BE49-F238E27FC236}">
              <a16:creationId xmlns:a16="http://schemas.microsoft.com/office/drawing/2014/main" id="{5505C35C-2CDE-4CE9-B346-A3D867268387}"/>
            </a:ext>
          </a:extLst>
        </xdr:cNvPr>
        <xdr:cNvSpPr txBox="1">
          <a:spLocks noChangeArrowheads="1"/>
        </xdr:cNvSpPr>
      </xdr:nvSpPr>
      <xdr:spPr bwMode="auto">
        <a:xfrm>
          <a:off x="4257675" y="104603550"/>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363" name="Text Box 3">
          <a:extLst>
            <a:ext uri="{FF2B5EF4-FFF2-40B4-BE49-F238E27FC236}">
              <a16:creationId xmlns:a16="http://schemas.microsoft.com/office/drawing/2014/main" id="{D0E30C7D-7953-4339-8326-DB1D376A3F0A}"/>
            </a:ext>
          </a:extLst>
        </xdr:cNvPr>
        <xdr:cNvSpPr txBox="1">
          <a:spLocks noChangeArrowheads="1"/>
        </xdr:cNvSpPr>
      </xdr:nvSpPr>
      <xdr:spPr bwMode="auto">
        <a:xfrm>
          <a:off x="4257675" y="104603550"/>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364" name="Text Box 3">
          <a:extLst>
            <a:ext uri="{FF2B5EF4-FFF2-40B4-BE49-F238E27FC236}">
              <a16:creationId xmlns:a16="http://schemas.microsoft.com/office/drawing/2014/main" id="{72221C28-44C8-49E1-8FB5-93A5B37B6801}"/>
            </a:ext>
          </a:extLst>
        </xdr:cNvPr>
        <xdr:cNvSpPr txBox="1">
          <a:spLocks noChangeArrowheads="1"/>
        </xdr:cNvSpPr>
      </xdr:nvSpPr>
      <xdr:spPr bwMode="auto">
        <a:xfrm>
          <a:off x="4257675" y="104603550"/>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365" name="Text Box 3">
          <a:extLst>
            <a:ext uri="{FF2B5EF4-FFF2-40B4-BE49-F238E27FC236}">
              <a16:creationId xmlns:a16="http://schemas.microsoft.com/office/drawing/2014/main" id="{F3E3AEAC-4CF0-42B5-8F92-0D685EC460C9}"/>
            </a:ext>
          </a:extLst>
        </xdr:cNvPr>
        <xdr:cNvSpPr txBox="1">
          <a:spLocks noChangeArrowheads="1"/>
        </xdr:cNvSpPr>
      </xdr:nvSpPr>
      <xdr:spPr bwMode="auto">
        <a:xfrm>
          <a:off x="4257675" y="104603550"/>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366" name="Text Box 3">
          <a:extLst>
            <a:ext uri="{FF2B5EF4-FFF2-40B4-BE49-F238E27FC236}">
              <a16:creationId xmlns:a16="http://schemas.microsoft.com/office/drawing/2014/main" id="{BE67B156-02F9-47D4-8217-F246F7EB9A40}"/>
            </a:ext>
          </a:extLst>
        </xdr:cNvPr>
        <xdr:cNvSpPr txBox="1">
          <a:spLocks noChangeArrowheads="1"/>
        </xdr:cNvSpPr>
      </xdr:nvSpPr>
      <xdr:spPr bwMode="auto">
        <a:xfrm>
          <a:off x="4257675" y="104603550"/>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367" name="Text Box 3">
          <a:extLst>
            <a:ext uri="{FF2B5EF4-FFF2-40B4-BE49-F238E27FC236}">
              <a16:creationId xmlns:a16="http://schemas.microsoft.com/office/drawing/2014/main" id="{533EC3EC-C0B4-4935-BC9D-0C558B396BEA}"/>
            </a:ext>
          </a:extLst>
        </xdr:cNvPr>
        <xdr:cNvSpPr txBox="1">
          <a:spLocks noChangeArrowheads="1"/>
        </xdr:cNvSpPr>
      </xdr:nvSpPr>
      <xdr:spPr bwMode="auto">
        <a:xfrm>
          <a:off x="4257675" y="104603550"/>
          <a:ext cx="76200" cy="200025"/>
        </a:xfrm>
        <a:prstGeom prst="rect">
          <a:avLst/>
        </a:prstGeom>
        <a:noFill/>
        <a:ln w="9525">
          <a:noFill/>
          <a:miter lim="800000"/>
          <a:headEnd/>
          <a:tailEnd/>
        </a:ln>
      </xdr:spPr>
    </xdr:sp>
    <xdr:clientData/>
  </xdr:oneCellAnchor>
  <xdr:oneCellAnchor>
    <xdr:from>
      <xdr:col>6</xdr:col>
      <xdr:colOff>590550</xdr:colOff>
      <xdr:row>636</xdr:row>
      <xdr:rowOff>0</xdr:rowOff>
    </xdr:from>
    <xdr:ext cx="76200" cy="200025"/>
    <xdr:sp macro="" textlink="">
      <xdr:nvSpPr>
        <xdr:cNvPr id="368" name="Text Box 3">
          <a:extLst>
            <a:ext uri="{FF2B5EF4-FFF2-40B4-BE49-F238E27FC236}">
              <a16:creationId xmlns:a16="http://schemas.microsoft.com/office/drawing/2014/main" id="{055619D3-79A4-44F9-B482-561BE0355E67}"/>
            </a:ext>
          </a:extLst>
        </xdr:cNvPr>
        <xdr:cNvSpPr txBox="1">
          <a:spLocks noChangeArrowheads="1"/>
        </xdr:cNvSpPr>
      </xdr:nvSpPr>
      <xdr:spPr bwMode="auto">
        <a:xfrm>
          <a:off x="4257675" y="104965500"/>
          <a:ext cx="76200" cy="200025"/>
        </a:xfrm>
        <a:prstGeom prst="rect">
          <a:avLst/>
        </a:prstGeom>
        <a:noFill/>
        <a:ln w="9525">
          <a:noFill/>
          <a:miter lim="800000"/>
          <a:headEnd/>
          <a:tailEnd/>
        </a:ln>
      </xdr:spPr>
    </xdr:sp>
    <xdr:clientData/>
  </xdr:oneCellAnchor>
  <xdr:oneCellAnchor>
    <xdr:from>
      <xdr:col>0</xdr:col>
      <xdr:colOff>0</xdr:colOff>
      <xdr:row>636</xdr:row>
      <xdr:rowOff>0</xdr:rowOff>
    </xdr:from>
    <xdr:ext cx="28575" cy="104775"/>
    <xdr:sp macro="" textlink="">
      <xdr:nvSpPr>
        <xdr:cNvPr id="369" name="Text Box 4">
          <a:extLst>
            <a:ext uri="{FF2B5EF4-FFF2-40B4-BE49-F238E27FC236}">
              <a16:creationId xmlns:a16="http://schemas.microsoft.com/office/drawing/2014/main" id="{B444E722-5392-46BE-B745-60666BE61F6D}"/>
            </a:ext>
          </a:extLst>
        </xdr:cNvPr>
        <xdr:cNvSpPr txBox="1">
          <a:spLocks noChangeArrowheads="1"/>
        </xdr:cNvSpPr>
      </xdr:nvSpPr>
      <xdr:spPr bwMode="auto">
        <a:xfrm>
          <a:off x="0" y="104965500"/>
          <a:ext cx="28575" cy="104775"/>
        </a:xfrm>
        <a:prstGeom prst="rect">
          <a:avLst/>
        </a:prstGeom>
        <a:noFill/>
        <a:ln w="9525">
          <a:noFill/>
          <a:miter lim="800000"/>
          <a:headEnd/>
          <a:tailEnd/>
        </a:ln>
      </xdr:spPr>
    </xdr:sp>
    <xdr:clientData/>
  </xdr:oneCellAnchor>
  <xdr:oneCellAnchor>
    <xdr:from>
      <xdr:col>6</xdr:col>
      <xdr:colOff>590550</xdr:colOff>
      <xdr:row>635</xdr:row>
      <xdr:rowOff>0</xdr:rowOff>
    </xdr:from>
    <xdr:ext cx="76200" cy="196850"/>
    <xdr:sp macro="" textlink="">
      <xdr:nvSpPr>
        <xdr:cNvPr id="370" name="Text Box 3">
          <a:extLst>
            <a:ext uri="{FF2B5EF4-FFF2-40B4-BE49-F238E27FC236}">
              <a16:creationId xmlns:a16="http://schemas.microsoft.com/office/drawing/2014/main" id="{65BAD18F-CE94-4D04-A924-735A711C26A0}"/>
            </a:ext>
          </a:extLst>
        </xdr:cNvPr>
        <xdr:cNvSpPr txBox="1">
          <a:spLocks noChangeArrowheads="1"/>
        </xdr:cNvSpPr>
      </xdr:nvSpPr>
      <xdr:spPr bwMode="auto">
        <a:xfrm>
          <a:off x="4257675" y="104765475"/>
          <a:ext cx="76200" cy="196850"/>
        </a:xfrm>
        <a:prstGeom prst="rect">
          <a:avLst/>
        </a:prstGeom>
        <a:noFill/>
        <a:ln w="9525">
          <a:noFill/>
          <a:miter lim="800000"/>
          <a:headEnd/>
          <a:tailEnd/>
        </a:ln>
      </xdr:spPr>
    </xdr:sp>
    <xdr:clientData/>
  </xdr:oneCellAnchor>
  <xdr:oneCellAnchor>
    <xdr:from>
      <xdr:col>0</xdr:col>
      <xdr:colOff>0</xdr:colOff>
      <xdr:row>635</xdr:row>
      <xdr:rowOff>0</xdr:rowOff>
    </xdr:from>
    <xdr:ext cx="28575" cy="104775"/>
    <xdr:sp macro="" textlink="">
      <xdr:nvSpPr>
        <xdr:cNvPr id="371" name="Text Box 4">
          <a:extLst>
            <a:ext uri="{FF2B5EF4-FFF2-40B4-BE49-F238E27FC236}">
              <a16:creationId xmlns:a16="http://schemas.microsoft.com/office/drawing/2014/main" id="{E4C0E395-2B6E-4C7E-A2B3-036A4B03792F}"/>
            </a:ext>
          </a:extLst>
        </xdr:cNvPr>
        <xdr:cNvSpPr txBox="1">
          <a:spLocks noChangeArrowheads="1"/>
        </xdr:cNvSpPr>
      </xdr:nvSpPr>
      <xdr:spPr bwMode="auto">
        <a:xfrm>
          <a:off x="0" y="104765475"/>
          <a:ext cx="28575" cy="10477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372" name="Text Box 3">
          <a:extLst>
            <a:ext uri="{FF2B5EF4-FFF2-40B4-BE49-F238E27FC236}">
              <a16:creationId xmlns:a16="http://schemas.microsoft.com/office/drawing/2014/main" id="{E519B57B-A6E1-4171-90A1-346C52F8AA1A}"/>
            </a:ext>
          </a:extLst>
        </xdr:cNvPr>
        <xdr:cNvSpPr txBox="1">
          <a:spLocks noChangeArrowheads="1"/>
        </xdr:cNvSpPr>
      </xdr:nvSpPr>
      <xdr:spPr bwMode="auto">
        <a:xfrm>
          <a:off x="4257675" y="114176175"/>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373" name="Text Box 3">
          <a:extLst>
            <a:ext uri="{FF2B5EF4-FFF2-40B4-BE49-F238E27FC236}">
              <a16:creationId xmlns:a16="http://schemas.microsoft.com/office/drawing/2014/main" id="{EC82D6AD-8AF4-46C2-A0F5-94AD652F042A}"/>
            </a:ext>
          </a:extLst>
        </xdr:cNvPr>
        <xdr:cNvSpPr txBox="1">
          <a:spLocks noChangeArrowheads="1"/>
        </xdr:cNvSpPr>
      </xdr:nvSpPr>
      <xdr:spPr bwMode="auto">
        <a:xfrm>
          <a:off x="4257675" y="114176175"/>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374" name="Text Box 3">
          <a:extLst>
            <a:ext uri="{FF2B5EF4-FFF2-40B4-BE49-F238E27FC236}">
              <a16:creationId xmlns:a16="http://schemas.microsoft.com/office/drawing/2014/main" id="{9163118A-870F-4C05-865D-3783F31AAAE7}"/>
            </a:ext>
          </a:extLst>
        </xdr:cNvPr>
        <xdr:cNvSpPr txBox="1">
          <a:spLocks noChangeArrowheads="1"/>
        </xdr:cNvSpPr>
      </xdr:nvSpPr>
      <xdr:spPr bwMode="auto">
        <a:xfrm>
          <a:off x="4257675" y="114176175"/>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375" name="Text Box 3">
          <a:extLst>
            <a:ext uri="{FF2B5EF4-FFF2-40B4-BE49-F238E27FC236}">
              <a16:creationId xmlns:a16="http://schemas.microsoft.com/office/drawing/2014/main" id="{B956693C-FDBB-4E45-B232-0C31C220AC53}"/>
            </a:ext>
          </a:extLst>
        </xdr:cNvPr>
        <xdr:cNvSpPr txBox="1">
          <a:spLocks noChangeArrowheads="1"/>
        </xdr:cNvSpPr>
      </xdr:nvSpPr>
      <xdr:spPr bwMode="auto">
        <a:xfrm>
          <a:off x="4257675" y="114176175"/>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376" name="Text Box 3">
          <a:extLst>
            <a:ext uri="{FF2B5EF4-FFF2-40B4-BE49-F238E27FC236}">
              <a16:creationId xmlns:a16="http://schemas.microsoft.com/office/drawing/2014/main" id="{B50EA77B-E8C4-4A32-8B23-B4C1E54779EF}"/>
            </a:ext>
          </a:extLst>
        </xdr:cNvPr>
        <xdr:cNvSpPr txBox="1">
          <a:spLocks noChangeArrowheads="1"/>
        </xdr:cNvSpPr>
      </xdr:nvSpPr>
      <xdr:spPr bwMode="auto">
        <a:xfrm>
          <a:off x="4257675" y="114176175"/>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377" name="Text Box 3">
          <a:extLst>
            <a:ext uri="{FF2B5EF4-FFF2-40B4-BE49-F238E27FC236}">
              <a16:creationId xmlns:a16="http://schemas.microsoft.com/office/drawing/2014/main" id="{4AD0D92A-2AD5-4AA6-9876-E07D966B544C}"/>
            </a:ext>
          </a:extLst>
        </xdr:cNvPr>
        <xdr:cNvSpPr txBox="1">
          <a:spLocks noChangeArrowheads="1"/>
        </xdr:cNvSpPr>
      </xdr:nvSpPr>
      <xdr:spPr bwMode="auto">
        <a:xfrm>
          <a:off x="4257675" y="114176175"/>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378" name="Text Box 3">
          <a:extLst>
            <a:ext uri="{FF2B5EF4-FFF2-40B4-BE49-F238E27FC236}">
              <a16:creationId xmlns:a16="http://schemas.microsoft.com/office/drawing/2014/main" id="{25813D75-7682-42C2-BDD7-D258FA24F921}"/>
            </a:ext>
          </a:extLst>
        </xdr:cNvPr>
        <xdr:cNvSpPr txBox="1">
          <a:spLocks noChangeArrowheads="1"/>
        </xdr:cNvSpPr>
      </xdr:nvSpPr>
      <xdr:spPr bwMode="auto">
        <a:xfrm>
          <a:off x="4257675" y="114176175"/>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379" name="Text Box 3">
          <a:extLst>
            <a:ext uri="{FF2B5EF4-FFF2-40B4-BE49-F238E27FC236}">
              <a16:creationId xmlns:a16="http://schemas.microsoft.com/office/drawing/2014/main" id="{D4D4DE1D-6436-4454-88F7-C78985C9F532}"/>
            </a:ext>
          </a:extLst>
        </xdr:cNvPr>
        <xdr:cNvSpPr txBox="1">
          <a:spLocks noChangeArrowheads="1"/>
        </xdr:cNvSpPr>
      </xdr:nvSpPr>
      <xdr:spPr bwMode="auto">
        <a:xfrm>
          <a:off x="4257675" y="114176175"/>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380" name="Text Box 3">
          <a:extLst>
            <a:ext uri="{FF2B5EF4-FFF2-40B4-BE49-F238E27FC236}">
              <a16:creationId xmlns:a16="http://schemas.microsoft.com/office/drawing/2014/main" id="{89740B19-244A-471D-B689-EFCFFBFA397D}"/>
            </a:ext>
          </a:extLst>
        </xdr:cNvPr>
        <xdr:cNvSpPr txBox="1">
          <a:spLocks noChangeArrowheads="1"/>
        </xdr:cNvSpPr>
      </xdr:nvSpPr>
      <xdr:spPr bwMode="auto">
        <a:xfrm>
          <a:off x="4257675" y="114176175"/>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381" name="Text Box 3">
          <a:extLst>
            <a:ext uri="{FF2B5EF4-FFF2-40B4-BE49-F238E27FC236}">
              <a16:creationId xmlns:a16="http://schemas.microsoft.com/office/drawing/2014/main" id="{A502B086-56A7-4EF7-950A-A351D2A86947}"/>
            </a:ext>
          </a:extLst>
        </xdr:cNvPr>
        <xdr:cNvSpPr txBox="1">
          <a:spLocks noChangeArrowheads="1"/>
        </xdr:cNvSpPr>
      </xdr:nvSpPr>
      <xdr:spPr bwMode="auto">
        <a:xfrm>
          <a:off x="4257675" y="114176175"/>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382" name="Text Box 3">
          <a:extLst>
            <a:ext uri="{FF2B5EF4-FFF2-40B4-BE49-F238E27FC236}">
              <a16:creationId xmlns:a16="http://schemas.microsoft.com/office/drawing/2014/main" id="{26223A71-76C6-46FF-BC01-B38C969A7158}"/>
            </a:ext>
          </a:extLst>
        </xdr:cNvPr>
        <xdr:cNvSpPr txBox="1">
          <a:spLocks noChangeArrowheads="1"/>
        </xdr:cNvSpPr>
      </xdr:nvSpPr>
      <xdr:spPr bwMode="auto">
        <a:xfrm>
          <a:off x="4257675" y="114176175"/>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383" name="Text Box 3">
          <a:extLst>
            <a:ext uri="{FF2B5EF4-FFF2-40B4-BE49-F238E27FC236}">
              <a16:creationId xmlns:a16="http://schemas.microsoft.com/office/drawing/2014/main" id="{579B3783-C5B9-4AB4-BC08-BC279A0F82A7}"/>
            </a:ext>
          </a:extLst>
        </xdr:cNvPr>
        <xdr:cNvSpPr txBox="1">
          <a:spLocks noChangeArrowheads="1"/>
        </xdr:cNvSpPr>
      </xdr:nvSpPr>
      <xdr:spPr bwMode="auto">
        <a:xfrm>
          <a:off x="4257675" y="114176175"/>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384" name="Text Box 3">
          <a:extLst>
            <a:ext uri="{FF2B5EF4-FFF2-40B4-BE49-F238E27FC236}">
              <a16:creationId xmlns:a16="http://schemas.microsoft.com/office/drawing/2014/main" id="{F806804F-5A9F-45B7-A467-2637E1BB8CBD}"/>
            </a:ext>
          </a:extLst>
        </xdr:cNvPr>
        <xdr:cNvSpPr txBox="1">
          <a:spLocks noChangeArrowheads="1"/>
        </xdr:cNvSpPr>
      </xdr:nvSpPr>
      <xdr:spPr bwMode="auto">
        <a:xfrm>
          <a:off x="4257675" y="114176175"/>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385" name="Text Box 3">
          <a:extLst>
            <a:ext uri="{FF2B5EF4-FFF2-40B4-BE49-F238E27FC236}">
              <a16:creationId xmlns:a16="http://schemas.microsoft.com/office/drawing/2014/main" id="{DAB0F3F1-5B5F-467F-BED2-CB0B0D8517D4}"/>
            </a:ext>
          </a:extLst>
        </xdr:cNvPr>
        <xdr:cNvSpPr txBox="1">
          <a:spLocks noChangeArrowheads="1"/>
        </xdr:cNvSpPr>
      </xdr:nvSpPr>
      <xdr:spPr bwMode="auto">
        <a:xfrm>
          <a:off x="4257675" y="114176175"/>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386" name="Text Box 3">
          <a:extLst>
            <a:ext uri="{FF2B5EF4-FFF2-40B4-BE49-F238E27FC236}">
              <a16:creationId xmlns:a16="http://schemas.microsoft.com/office/drawing/2014/main" id="{05E73CDB-AF84-419B-A156-EF4528A676CF}"/>
            </a:ext>
          </a:extLst>
        </xdr:cNvPr>
        <xdr:cNvSpPr txBox="1">
          <a:spLocks noChangeArrowheads="1"/>
        </xdr:cNvSpPr>
      </xdr:nvSpPr>
      <xdr:spPr bwMode="auto">
        <a:xfrm>
          <a:off x="4257675" y="114176175"/>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387" name="Text Box 3">
          <a:extLst>
            <a:ext uri="{FF2B5EF4-FFF2-40B4-BE49-F238E27FC236}">
              <a16:creationId xmlns:a16="http://schemas.microsoft.com/office/drawing/2014/main" id="{FF120AC6-64CC-413B-BA37-AEB088E4A431}"/>
            </a:ext>
          </a:extLst>
        </xdr:cNvPr>
        <xdr:cNvSpPr txBox="1">
          <a:spLocks noChangeArrowheads="1"/>
        </xdr:cNvSpPr>
      </xdr:nvSpPr>
      <xdr:spPr bwMode="auto">
        <a:xfrm>
          <a:off x="4257675" y="114176175"/>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388" name="Text Box 3">
          <a:extLst>
            <a:ext uri="{FF2B5EF4-FFF2-40B4-BE49-F238E27FC236}">
              <a16:creationId xmlns:a16="http://schemas.microsoft.com/office/drawing/2014/main" id="{002253F3-40DE-49CC-9688-AC5D9C8D45D0}"/>
            </a:ext>
          </a:extLst>
        </xdr:cNvPr>
        <xdr:cNvSpPr txBox="1">
          <a:spLocks noChangeArrowheads="1"/>
        </xdr:cNvSpPr>
      </xdr:nvSpPr>
      <xdr:spPr bwMode="auto">
        <a:xfrm>
          <a:off x="4257675" y="114176175"/>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389" name="Text Box 3">
          <a:extLst>
            <a:ext uri="{FF2B5EF4-FFF2-40B4-BE49-F238E27FC236}">
              <a16:creationId xmlns:a16="http://schemas.microsoft.com/office/drawing/2014/main" id="{CB8CC786-7FA0-4FCD-95CC-2C5C64FD2D44}"/>
            </a:ext>
          </a:extLst>
        </xdr:cNvPr>
        <xdr:cNvSpPr txBox="1">
          <a:spLocks noChangeArrowheads="1"/>
        </xdr:cNvSpPr>
      </xdr:nvSpPr>
      <xdr:spPr bwMode="auto">
        <a:xfrm>
          <a:off x="4257675" y="114176175"/>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390" name="Text Box 3">
          <a:extLst>
            <a:ext uri="{FF2B5EF4-FFF2-40B4-BE49-F238E27FC236}">
              <a16:creationId xmlns:a16="http://schemas.microsoft.com/office/drawing/2014/main" id="{F0AFF521-9D2A-41B7-9621-34026BF28DF5}"/>
            </a:ext>
          </a:extLst>
        </xdr:cNvPr>
        <xdr:cNvSpPr txBox="1">
          <a:spLocks noChangeArrowheads="1"/>
        </xdr:cNvSpPr>
      </xdr:nvSpPr>
      <xdr:spPr bwMode="auto">
        <a:xfrm>
          <a:off x="4257675" y="114176175"/>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391" name="Text Box 3">
          <a:extLst>
            <a:ext uri="{FF2B5EF4-FFF2-40B4-BE49-F238E27FC236}">
              <a16:creationId xmlns:a16="http://schemas.microsoft.com/office/drawing/2014/main" id="{FB3AC105-6EAB-4C34-9602-F0DA80EE1C54}"/>
            </a:ext>
          </a:extLst>
        </xdr:cNvPr>
        <xdr:cNvSpPr txBox="1">
          <a:spLocks noChangeArrowheads="1"/>
        </xdr:cNvSpPr>
      </xdr:nvSpPr>
      <xdr:spPr bwMode="auto">
        <a:xfrm>
          <a:off x="4257675" y="114176175"/>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392" name="Text Box 3">
          <a:extLst>
            <a:ext uri="{FF2B5EF4-FFF2-40B4-BE49-F238E27FC236}">
              <a16:creationId xmlns:a16="http://schemas.microsoft.com/office/drawing/2014/main" id="{C648020C-0700-4D94-8153-C8EFBFDC3D14}"/>
            </a:ext>
          </a:extLst>
        </xdr:cNvPr>
        <xdr:cNvSpPr txBox="1">
          <a:spLocks noChangeArrowheads="1"/>
        </xdr:cNvSpPr>
      </xdr:nvSpPr>
      <xdr:spPr bwMode="auto">
        <a:xfrm>
          <a:off x="4257675" y="114176175"/>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393" name="Text Box 3">
          <a:extLst>
            <a:ext uri="{FF2B5EF4-FFF2-40B4-BE49-F238E27FC236}">
              <a16:creationId xmlns:a16="http://schemas.microsoft.com/office/drawing/2014/main" id="{D32DD2E1-E31E-4A25-80C5-FD9A5D476160}"/>
            </a:ext>
          </a:extLst>
        </xdr:cNvPr>
        <xdr:cNvSpPr txBox="1">
          <a:spLocks noChangeArrowheads="1"/>
        </xdr:cNvSpPr>
      </xdr:nvSpPr>
      <xdr:spPr bwMode="auto">
        <a:xfrm>
          <a:off x="4257675" y="114176175"/>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394" name="Text Box 3">
          <a:extLst>
            <a:ext uri="{FF2B5EF4-FFF2-40B4-BE49-F238E27FC236}">
              <a16:creationId xmlns:a16="http://schemas.microsoft.com/office/drawing/2014/main" id="{8AE6FB5E-FE96-43BA-A012-C637A56D4652}"/>
            </a:ext>
          </a:extLst>
        </xdr:cNvPr>
        <xdr:cNvSpPr txBox="1">
          <a:spLocks noChangeArrowheads="1"/>
        </xdr:cNvSpPr>
      </xdr:nvSpPr>
      <xdr:spPr bwMode="auto">
        <a:xfrm>
          <a:off x="4257675" y="114176175"/>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395" name="Text Box 3">
          <a:extLst>
            <a:ext uri="{FF2B5EF4-FFF2-40B4-BE49-F238E27FC236}">
              <a16:creationId xmlns:a16="http://schemas.microsoft.com/office/drawing/2014/main" id="{C5D6146D-07E0-44F2-BDF5-872F453E13B5}"/>
            </a:ext>
          </a:extLst>
        </xdr:cNvPr>
        <xdr:cNvSpPr txBox="1">
          <a:spLocks noChangeArrowheads="1"/>
        </xdr:cNvSpPr>
      </xdr:nvSpPr>
      <xdr:spPr bwMode="auto">
        <a:xfrm>
          <a:off x="4257675" y="114176175"/>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396" name="Text Box 3">
          <a:extLst>
            <a:ext uri="{FF2B5EF4-FFF2-40B4-BE49-F238E27FC236}">
              <a16:creationId xmlns:a16="http://schemas.microsoft.com/office/drawing/2014/main" id="{5E417152-382D-4D64-A978-A4B4332F8190}"/>
            </a:ext>
          </a:extLst>
        </xdr:cNvPr>
        <xdr:cNvSpPr txBox="1">
          <a:spLocks noChangeArrowheads="1"/>
        </xdr:cNvSpPr>
      </xdr:nvSpPr>
      <xdr:spPr bwMode="auto">
        <a:xfrm>
          <a:off x="4257675" y="114176175"/>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397" name="Text Box 3">
          <a:extLst>
            <a:ext uri="{FF2B5EF4-FFF2-40B4-BE49-F238E27FC236}">
              <a16:creationId xmlns:a16="http://schemas.microsoft.com/office/drawing/2014/main" id="{86C0381E-5A67-4E50-A19C-81B51955972C}"/>
            </a:ext>
          </a:extLst>
        </xdr:cNvPr>
        <xdr:cNvSpPr txBox="1">
          <a:spLocks noChangeArrowheads="1"/>
        </xdr:cNvSpPr>
      </xdr:nvSpPr>
      <xdr:spPr bwMode="auto">
        <a:xfrm>
          <a:off x="4257675" y="114176175"/>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398" name="Text Box 3">
          <a:extLst>
            <a:ext uri="{FF2B5EF4-FFF2-40B4-BE49-F238E27FC236}">
              <a16:creationId xmlns:a16="http://schemas.microsoft.com/office/drawing/2014/main" id="{40867498-5AB2-44DC-A265-F32E498B7E2C}"/>
            </a:ext>
          </a:extLst>
        </xdr:cNvPr>
        <xdr:cNvSpPr txBox="1">
          <a:spLocks noChangeArrowheads="1"/>
        </xdr:cNvSpPr>
      </xdr:nvSpPr>
      <xdr:spPr bwMode="auto">
        <a:xfrm>
          <a:off x="4257675" y="114176175"/>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399" name="Text Box 3">
          <a:extLst>
            <a:ext uri="{FF2B5EF4-FFF2-40B4-BE49-F238E27FC236}">
              <a16:creationId xmlns:a16="http://schemas.microsoft.com/office/drawing/2014/main" id="{0806F19A-1C65-4B19-9D03-D75EBC4FC177}"/>
            </a:ext>
          </a:extLst>
        </xdr:cNvPr>
        <xdr:cNvSpPr txBox="1">
          <a:spLocks noChangeArrowheads="1"/>
        </xdr:cNvSpPr>
      </xdr:nvSpPr>
      <xdr:spPr bwMode="auto">
        <a:xfrm>
          <a:off x="4257675" y="114176175"/>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00" name="Text Box 3">
          <a:extLst>
            <a:ext uri="{FF2B5EF4-FFF2-40B4-BE49-F238E27FC236}">
              <a16:creationId xmlns:a16="http://schemas.microsoft.com/office/drawing/2014/main" id="{8E1B8E14-6AB0-4131-BC8C-F53F165906A1}"/>
            </a:ext>
          </a:extLst>
        </xdr:cNvPr>
        <xdr:cNvSpPr txBox="1">
          <a:spLocks noChangeArrowheads="1"/>
        </xdr:cNvSpPr>
      </xdr:nvSpPr>
      <xdr:spPr bwMode="auto">
        <a:xfrm>
          <a:off x="4257675" y="114176175"/>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01" name="Text Box 3">
          <a:extLst>
            <a:ext uri="{FF2B5EF4-FFF2-40B4-BE49-F238E27FC236}">
              <a16:creationId xmlns:a16="http://schemas.microsoft.com/office/drawing/2014/main" id="{1F98583F-D92E-4EB3-98FA-10090B5AE008}"/>
            </a:ext>
          </a:extLst>
        </xdr:cNvPr>
        <xdr:cNvSpPr txBox="1">
          <a:spLocks noChangeArrowheads="1"/>
        </xdr:cNvSpPr>
      </xdr:nvSpPr>
      <xdr:spPr bwMode="auto">
        <a:xfrm>
          <a:off x="4257675" y="114176175"/>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02" name="Text Box 3">
          <a:extLst>
            <a:ext uri="{FF2B5EF4-FFF2-40B4-BE49-F238E27FC236}">
              <a16:creationId xmlns:a16="http://schemas.microsoft.com/office/drawing/2014/main" id="{ABA129C4-A9E2-4013-AA58-3F8436707BE9}"/>
            </a:ext>
          </a:extLst>
        </xdr:cNvPr>
        <xdr:cNvSpPr txBox="1">
          <a:spLocks noChangeArrowheads="1"/>
        </xdr:cNvSpPr>
      </xdr:nvSpPr>
      <xdr:spPr bwMode="auto">
        <a:xfrm>
          <a:off x="4257675" y="114176175"/>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03" name="Text Box 3">
          <a:extLst>
            <a:ext uri="{FF2B5EF4-FFF2-40B4-BE49-F238E27FC236}">
              <a16:creationId xmlns:a16="http://schemas.microsoft.com/office/drawing/2014/main" id="{5EFF48CD-B13A-4AFE-BE28-8F04C088D36E}"/>
            </a:ext>
          </a:extLst>
        </xdr:cNvPr>
        <xdr:cNvSpPr txBox="1">
          <a:spLocks noChangeArrowheads="1"/>
        </xdr:cNvSpPr>
      </xdr:nvSpPr>
      <xdr:spPr bwMode="auto">
        <a:xfrm>
          <a:off x="4257675" y="114176175"/>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04" name="Text Box 3">
          <a:extLst>
            <a:ext uri="{FF2B5EF4-FFF2-40B4-BE49-F238E27FC236}">
              <a16:creationId xmlns:a16="http://schemas.microsoft.com/office/drawing/2014/main" id="{6375414C-35DF-410C-A400-AB5F1829F1AA}"/>
            </a:ext>
          </a:extLst>
        </xdr:cNvPr>
        <xdr:cNvSpPr txBox="1">
          <a:spLocks noChangeArrowheads="1"/>
        </xdr:cNvSpPr>
      </xdr:nvSpPr>
      <xdr:spPr bwMode="auto">
        <a:xfrm>
          <a:off x="4257675" y="114176175"/>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05" name="Text Box 3">
          <a:extLst>
            <a:ext uri="{FF2B5EF4-FFF2-40B4-BE49-F238E27FC236}">
              <a16:creationId xmlns:a16="http://schemas.microsoft.com/office/drawing/2014/main" id="{5103A438-E872-4DD3-8FD1-27401B90B45D}"/>
            </a:ext>
          </a:extLst>
        </xdr:cNvPr>
        <xdr:cNvSpPr txBox="1">
          <a:spLocks noChangeArrowheads="1"/>
        </xdr:cNvSpPr>
      </xdr:nvSpPr>
      <xdr:spPr bwMode="auto">
        <a:xfrm>
          <a:off x="4257675" y="114176175"/>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06" name="Text Box 3">
          <a:extLst>
            <a:ext uri="{FF2B5EF4-FFF2-40B4-BE49-F238E27FC236}">
              <a16:creationId xmlns:a16="http://schemas.microsoft.com/office/drawing/2014/main" id="{1B63C00A-C9DE-4A38-AAA0-DB1B7D214EA1}"/>
            </a:ext>
          </a:extLst>
        </xdr:cNvPr>
        <xdr:cNvSpPr txBox="1">
          <a:spLocks noChangeArrowheads="1"/>
        </xdr:cNvSpPr>
      </xdr:nvSpPr>
      <xdr:spPr bwMode="auto">
        <a:xfrm>
          <a:off x="4257675" y="114176175"/>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07" name="Text Box 3">
          <a:extLst>
            <a:ext uri="{FF2B5EF4-FFF2-40B4-BE49-F238E27FC236}">
              <a16:creationId xmlns:a16="http://schemas.microsoft.com/office/drawing/2014/main" id="{3999105D-82D6-4147-B705-6101318E43F1}"/>
            </a:ext>
          </a:extLst>
        </xdr:cNvPr>
        <xdr:cNvSpPr txBox="1">
          <a:spLocks noChangeArrowheads="1"/>
        </xdr:cNvSpPr>
      </xdr:nvSpPr>
      <xdr:spPr bwMode="auto">
        <a:xfrm>
          <a:off x="4257675" y="114176175"/>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08" name="Text Box 3">
          <a:extLst>
            <a:ext uri="{FF2B5EF4-FFF2-40B4-BE49-F238E27FC236}">
              <a16:creationId xmlns:a16="http://schemas.microsoft.com/office/drawing/2014/main" id="{A87FD995-FBE4-4A95-9897-B9E8865FF19D}"/>
            </a:ext>
          </a:extLst>
        </xdr:cNvPr>
        <xdr:cNvSpPr txBox="1">
          <a:spLocks noChangeArrowheads="1"/>
        </xdr:cNvSpPr>
      </xdr:nvSpPr>
      <xdr:spPr bwMode="auto">
        <a:xfrm>
          <a:off x="4257675" y="114176175"/>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09" name="Text Box 3">
          <a:extLst>
            <a:ext uri="{FF2B5EF4-FFF2-40B4-BE49-F238E27FC236}">
              <a16:creationId xmlns:a16="http://schemas.microsoft.com/office/drawing/2014/main" id="{9B8FFD20-9C38-4D71-A976-84D55876A3EA}"/>
            </a:ext>
          </a:extLst>
        </xdr:cNvPr>
        <xdr:cNvSpPr txBox="1">
          <a:spLocks noChangeArrowheads="1"/>
        </xdr:cNvSpPr>
      </xdr:nvSpPr>
      <xdr:spPr bwMode="auto">
        <a:xfrm>
          <a:off x="4257675" y="114176175"/>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10" name="Text Box 3">
          <a:extLst>
            <a:ext uri="{FF2B5EF4-FFF2-40B4-BE49-F238E27FC236}">
              <a16:creationId xmlns:a16="http://schemas.microsoft.com/office/drawing/2014/main" id="{4594330F-6452-4A2B-A9FE-534416CDB678}"/>
            </a:ext>
          </a:extLst>
        </xdr:cNvPr>
        <xdr:cNvSpPr txBox="1">
          <a:spLocks noChangeArrowheads="1"/>
        </xdr:cNvSpPr>
      </xdr:nvSpPr>
      <xdr:spPr bwMode="auto">
        <a:xfrm>
          <a:off x="4257675" y="114176175"/>
          <a:ext cx="76200" cy="200025"/>
        </a:xfrm>
        <a:prstGeom prst="rect">
          <a:avLst/>
        </a:prstGeom>
        <a:noFill/>
        <a:ln w="9525">
          <a:noFill/>
          <a:miter lim="800000"/>
          <a:headEnd/>
          <a:tailEnd/>
        </a:ln>
      </xdr:spPr>
    </xdr:sp>
    <xdr:clientData/>
  </xdr:oneCellAnchor>
  <xdr:oneCellAnchor>
    <xdr:from>
      <xdr:col>6</xdr:col>
      <xdr:colOff>590550</xdr:colOff>
      <xdr:row>694</xdr:row>
      <xdr:rowOff>0</xdr:rowOff>
    </xdr:from>
    <xdr:ext cx="76200" cy="200025"/>
    <xdr:sp macro="" textlink="">
      <xdr:nvSpPr>
        <xdr:cNvPr id="411" name="Text Box 3">
          <a:extLst>
            <a:ext uri="{FF2B5EF4-FFF2-40B4-BE49-F238E27FC236}">
              <a16:creationId xmlns:a16="http://schemas.microsoft.com/office/drawing/2014/main" id="{9AD2AFDB-49D9-4F0F-B776-3D5A51981447}"/>
            </a:ext>
          </a:extLst>
        </xdr:cNvPr>
        <xdr:cNvSpPr txBox="1">
          <a:spLocks noChangeArrowheads="1"/>
        </xdr:cNvSpPr>
      </xdr:nvSpPr>
      <xdr:spPr bwMode="auto">
        <a:xfrm>
          <a:off x="4257675" y="114538125"/>
          <a:ext cx="76200" cy="200025"/>
        </a:xfrm>
        <a:prstGeom prst="rect">
          <a:avLst/>
        </a:prstGeom>
        <a:noFill/>
        <a:ln w="9525">
          <a:noFill/>
          <a:miter lim="800000"/>
          <a:headEnd/>
          <a:tailEnd/>
        </a:ln>
      </xdr:spPr>
    </xdr:sp>
    <xdr:clientData/>
  </xdr:oneCellAnchor>
  <xdr:oneCellAnchor>
    <xdr:from>
      <xdr:col>0</xdr:col>
      <xdr:colOff>0</xdr:colOff>
      <xdr:row>694</xdr:row>
      <xdr:rowOff>0</xdr:rowOff>
    </xdr:from>
    <xdr:ext cx="28575" cy="104775"/>
    <xdr:sp macro="" textlink="">
      <xdr:nvSpPr>
        <xdr:cNvPr id="412" name="Text Box 4">
          <a:extLst>
            <a:ext uri="{FF2B5EF4-FFF2-40B4-BE49-F238E27FC236}">
              <a16:creationId xmlns:a16="http://schemas.microsoft.com/office/drawing/2014/main" id="{98F69FE7-F51D-42AF-B0B4-BFB6F72694AC}"/>
            </a:ext>
          </a:extLst>
        </xdr:cNvPr>
        <xdr:cNvSpPr txBox="1">
          <a:spLocks noChangeArrowheads="1"/>
        </xdr:cNvSpPr>
      </xdr:nvSpPr>
      <xdr:spPr bwMode="auto">
        <a:xfrm>
          <a:off x="0" y="114538125"/>
          <a:ext cx="28575" cy="104775"/>
        </a:xfrm>
        <a:prstGeom prst="rect">
          <a:avLst/>
        </a:prstGeom>
        <a:noFill/>
        <a:ln w="9525">
          <a:noFill/>
          <a:miter lim="800000"/>
          <a:headEnd/>
          <a:tailEnd/>
        </a:ln>
      </xdr:spPr>
    </xdr:sp>
    <xdr:clientData/>
  </xdr:oneCellAnchor>
  <xdr:oneCellAnchor>
    <xdr:from>
      <xdr:col>6</xdr:col>
      <xdr:colOff>590550</xdr:colOff>
      <xdr:row>693</xdr:row>
      <xdr:rowOff>0</xdr:rowOff>
    </xdr:from>
    <xdr:ext cx="76200" cy="196850"/>
    <xdr:sp macro="" textlink="">
      <xdr:nvSpPr>
        <xdr:cNvPr id="413" name="Text Box 3">
          <a:extLst>
            <a:ext uri="{FF2B5EF4-FFF2-40B4-BE49-F238E27FC236}">
              <a16:creationId xmlns:a16="http://schemas.microsoft.com/office/drawing/2014/main" id="{21670FBA-55F0-4B0C-B974-4392855BEA95}"/>
            </a:ext>
          </a:extLst>
        </xdr:cNvPr>
        <xdr:cNvSpPr txBox="1">
          <a:spLocks noChangeArrowheads="1"/>
        </xdr:cNvSpPr>
      </xdr:nvSpPr>
      <xdr:spPr bwMode="auto">
        <a:xfrm>
          <a:off x="4257675" y="114338100"/>
          <a:ext cx="76200" cy="196850"/>
        </a:xfrm>
        <a:prstGeom prst="rect">
          <a:avLst/>
        </a:prstGeom>
        <a:noFill/>
        <a:ln w="9525">
          <a:noFill/>
          <a:miter lim="800000"/>
          <a:headEnd/>
          <a:tailEnd/>
        </a:ln>
      </xdr:spPr>
    </xdr:sp>
    <xdr:clientData/>
  </xdr:oneCellAnchor>
  <xdr:oneCellAnchor>
    <xdr:from>
      <xdr:col>0</xdr:col>
      <xdr:colOff>0</xdr:colOff>
      <xdr:row>693</xdr:row>
      <xdr:rowOff>0</xdr:rowOff>
    </xdr:from>
    <xdr:ext cx="28575" cy="104775"/>
    <xdr:sp macro="" textlink="">
      <xdr:nvSpPr>
        <xdr:cNvPr id="414" name="Text Box 4">
          <a:extLst>
            <a:ext uri="{FF2B5EF4-FFF2-40B4-BE49-F238E27FC236}">
              <a16:creationId xmlns:a16="http://schemas.microsoft.com/office/drawing/2014/main" id="{EC18F258-627E-45C5-B60A-B9A363E33AE3}"/>
            </a:ext>
          </a:extLst>
        </xdr:cNvPr>
        <xdr:cNvSpPr txBox="1">
          <a:spLocks noChangeArrowheads="1"/>
        </xdr:cNvSpPr>
      </xdr:nvSpPr>
      <xdr:spPr bwMode="auto">
        <a:xfrm>
          <a:off x="0" y="114338100"/>
          <a:ext cx="28575" cy="10477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415" name="Text Box 3">
          <a:extLst>
            <a:ext uri="{FF2B5EF4-FFF2-40B4-BE49-F238E27FC236}">
              <a16:creationId xmlns:a16="http://schemas.microsoft.com/office/drawing/2014/main" id="{97C323DC-FBA3-440C-A73E-79C899FC0672}"/>
            </a:ext>
          </a:extLst>
        </xdr:cNvPr>
        <xdr:cNvSpPr txBox="1">
          <a:spLocks noChangeArrowheads="1"/>
        </xdr:cNvSpPr>
      </xdr:nvSpPr>
      <xdr:spPr bwMode="auto">
        <a:xfrm>
          <a:off x="4257675" y="123748800"/>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416" name="Text Box 3">
          <a:extLst>
            <a:ext uri="{FF2B5EF4-FFF2-40B4-BE49-F238E27FC236}">
              <a16:creationId xmlns:a16="http://schemas.microsoft.com/office/drawing/2014/main" id="{0DE66930-7886-474C-A035-BFE15F20361D}"/>
            </a:ext>
          </a:extLst>
        </xdr:cNvPr>
        <xdr:cNvSpPr txBox="1">
          <a:spLocks noChangeArrowheads="1"/>
        </xdr:cNvSpPr>
      </xdr:nvSpPr>
      <xdr:spPr bwMode="auto">
        <a:xfrm>
          <a:off x="4257675" y="123748800"/>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417" name="Text Box 3">
          <a:extLst>
            <a:ext uri="{FF2B5EF4-FFF2-40B4-BE49-F238E27FC236}">
              <a16:creationId xmlns:a16="http://schemas.microsoft.com/office/drawing/2014/main" id="{1E8E5635-69BA-4B64-B773-740497A1A375}"/>
            </a:ext>
          </a:extLst>
        </xdr:cNvPr>
        <xdr:cNvSpPr txBox="1">
          <a:spLocks noChangeArrowheads="1"/>
        </xdr:cNvSpPr>
      </xdr:nvSpPr>
      <xdr:spPr bwMode="auto">
        <a:xfrm>
          <a:off x="4257675" y="123748800"/>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418" name="Text Box 3">
          <a:extLst>
            <a:ext uri="{FF2B5EF4-FFF2-40B4-BE49-F238E27FC236}">
              <a16:creationId xmlns:a16="http://schemas.microsoft.com/office/drawing/2014/main" id="{7457CB51-1161-49E7-B6F8-77FE35D44C92}"/>
            </a:ext>
          </a:extLst>
        </xdr:cNvPr>
        <xdr:cNvSpPr txBox="1">
          <a:spLocks noChangeArrowheads="1"/>
        </xdr:cNvSpPr>
      </xdr:nvSpPr>
      <xdr:spPr bwMode="auto">
        <a:xfrm>
          <a:off x="4257675" y="123748800"/>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419" name="Text Box 3">
          <a:extLst>
            <a:ext uri="{FF2B5EF4-FFF2-40B4-BE49-F238E27FC236}">
              <a16:creationId xmlns:a16="http://schemas.microsoft.com/office/drawing/2014/main" id="{8384138B-AA17-45AA-9EDC-4D9BF4F93059}"/>
            </a:ext>
          </a:extLst>
        </xdr:cNvPr>
        <xdr:cNvSpPr txBox="1">
          <a:spLocks noChangeArrowheads="1"/>
        </xdr:cNvSpPr>
      </xdr:nvSpPr>
      <xdr:spPr bwMode="auto">
        <a:xfrm>
          <a:off x="4257675" y="123748800"/>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420" name="Text Box 3">
          <a:extLst>
            <a:ext uri="{FF2B5EF4-FFF2-40B4-BE49-F238E27FC236}">
              <a16:creationId xmlns:a16="http://schemas.microsoft.com/office/drawing/2014/main" id="{C694D49C-13E0-4E03-80C8-551773899359}"/>
            </a:ext>
          </a:extLst>
        </xdr:cNvPr>
        <xdr:cNvSpPr txBox="1">
          <a:spLocks noChangeArrowheads="1"/>
        </xdr:cNvSpPr>
      </xdr:nvSpPr>
      <xdr:spPr bwMode="auto">
        <a:xfrm>
          <a:off x="4257675" y="123748800"/>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421" name="Text Box 3">
          <a:extLst>
            <a:ext uri="{FF2B5EF4-FFF2-40B4-BE49-F238E27FC236}">
              <a16:creationId xmlns:a16="http://schemas.microsoft.com/office/drawing/2014/main" id="{23F63FEC-25E1-4527-96C3-46125EFA735B}"/>
            </a:ext>
          </a:extLst>
        </xdr:cNvPr>
        <xdr:cNvSpPr txBox="1">
          <a:spLocks noChangeArrowheads="1"/>
        </xdr:cNvSpPr>
      </xdr:nvSpPr>
      <xdr:spPr bwMode="auto">
        <a:xfrm>
          <a:off x="4257675" y="123748800"/>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422" name="Text Box 3">
          <a:extLst>
            <a:ext uri="{FF2B5EF4-FFF2-40B4-BE49-F238E27FC236}">
              <a16:creationId xmlns:a16="http://schemas.microsoft.com/office/drawing/2014/main" id="{6F460C3C-536D-4297-B701-24B8C889636B}"/>
            </a:ext>
          </a:extLst>
        </xdr:cNvPr>
        <xdr:cNvSpPr txBox="1">
          <a:spLocks noChangeArrowheads="1"/>
        </xdr:cNvSpPr>
      </xdr:nvSpPr>
      <xdr:spPr bwMode="auto">
        <a:xfrm>
          <a:off x="4257675" y="123748800"/>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423" name="Text Box 3">
          <a:extLst>
            <a:ext uri="{FF2B5EF4-FFF2-40B4-BE49-F238E27FC236}">
              <a16:creationId xmlns:a16="http://schemas.microsoft.com/office/drawing/2014/main" id="{56D7AA22-E531-423B-8303-EE4E1F08AFDC}"/>
            </a:ext>
          </a:extLst>
        </xdr:cNvPr>
        <xdr:cNvSpPr txBox="1">
          <a:spLocks noChangeArrowheads="1"/>
        </xdr:cNvSpPr>
      </xdr:nvSpPr>
      <xdr:spPr bwMode="auto">
        <a:xfrm>
          <a:off x="4257675" y="123748800"/>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424" name="Text Box 3">
          <a:extLst>
            <a:ext uri="{FF2B5EF4-FFF2-40B4-BE49-F238E27FC236}">
              <a16:creationId xmlns:a16="http://schemas.microsoft.com/office/drawing/2014/main" id="{C9B19AAA-1E34-4C6E-94F7-8517ABEAFA00}"/>
            </a:ext>
          </a:extLst>
        </xdr:cNvPr>
        <xdr:cNvSpPr txBox="1">
          <a:spLocks noChangeArrowheads="1"/>
        </xdr:cNvSpPr>
      </xdr:nvSpPr>
      <xdr:spPr bwMode="auto">
        <a:xfrm>
          <a:off x="4257675" y="123748800"/>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425" name="Text Box 3">
          <a:extLst>
            <a:ext uri="{FF2B5EF4-FFF2-40B4-BE49-F238E27FC236}">
              <a16:creationId xmlns:a16="http://schemas.microsoft.com/office/drawing/2014/main" id="{9BC3DA66-EFD4-4CD0-AF97-9B7E943D0C36}"/>
            </a:ext>
          </a:extLst>
        </xdr:cNvPr>
        <xdr:cNvSpPr txBox="1">
          <a:spLocks noChangeArrowheads="1"/>
        </xdr:cNvSpPr>
      </xdr:nvSpPr>
      <xdr:spPr bwMode="auto">
        <a:xfrm>
          <a:off x="4257675" y="123748800"/>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426" name="Text Box 3">
          <a:extLst>
            <a:ext uri="{FF2B5EF4-FFF2-40B4-BE49-F238E27FC236}">
              <a16:creationId xmlns:a16="http://schemas.microsoft.com/office/drawing/2014/main" id="{D09E7376-DCBA-48F0-86DA-3D82CFBEB3CF}"/>
            </a:ext>
          </a:extLst>
        </xdr:cNvPr>
        <xdr:cNvSpPr txBox="1">
          <a:spLocks noChangeArrowheads="1"/>
        </xdr:cNvSpPr>
      </xdr:nvSpPr>
      <xdr:spPr bwMode="auto">
        <a:xfrm>
          <a:off x="4257675" y="123748800"/>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427" name="Text Box 3">
          <a:extLst>
            <a:ext uri="{FF2B5EF4-FFF2-40B4-BE49-F238E27FC236}">
              <a16:creationId xmlns:a16="http://schemas.microsoft.com/office/drawing/2014/main" id="{C9802A3B-F8EF-417F-8DB6-9CC070C12D03}"/>
            </a:ext>
          </a:extLst>
        </xdr:cNvPr>
        <xdr:cNvSpPr txBox="1">
          <a:spLocks noChangeArrowheads="1"/>
        </xdr:cNvSpPr>
      </xdr:nvSpPr>
      <xdr:spPr bwMode="auto">
        <a:xfrm>
          <a:off x="4257675" y="123748800"/>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428" name="Text Box 3">
          <a:extLst>
            <a:ext uri="{FF2B5EF4-FFF2-40B4-BE49-F238E27FC236}">
              <a16:creationId xmlns:a16="http://schemas.microsoft.com/office/drawing/2014/main" id="{DD07D653-472B-4DEC-9960-F405BDE8523D}"/>
            </a:ext>
          </a:extLst>
        </xdr:cNvPr>
        <xdr:cNvSpPr txBox="1">
          <a:spLocks noChangeArrowheads="1"/>
        </xdr:cNvSpPr>
      </xdr:nvSpPr>
      <xdr:spPr bwMode="auto">
        <a:xfrm>
          <a:off x="4257675" y="123748800"/>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429" name="Text Box 3">
          <a:extLst>
            <a:ext uri="{FF2B5EF4-FFF2-40B4-BE49-F238E27FC236}">
              <a16:creationId xmlns:a16="http://schemas.microsoft.com/office/drawing/2014/main" id="{6DBEE47B-171D-487E-BA4C-6FE746863EF6}"/>
            </a:ext>
          </a:extLst>
        </xdr:cNvPr>
        <xdr:cNvSpPr txBox="1">
          <a:spLocks noChangeArrowheads="1"/>
        </xdr:cNvSpPr>
      </xdr:nvSpPr>
      <xdr:spPr bwMode="auto">
        <a:xfrm>
          <a:off x="4257675" y="123748800"/>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430" name="Text Box 3">
          <a:extLst>
            <a:ext uri="{FF2B5EF4-FFF2-40B4-BE49-F238E27FC236}">
              <a16:creationId xmlns:a16="http://schemas.microsoft.com/office/drawing/2014/main" id="{82180783-2B20-4C35-BAD5-B27051913B6B}"/>
            </a:ext>
          </a:extLst>
        </xdr:cNvPr>
        <xdr:cNvSpPr txBox="1">
          <a:spLocks noChangeArrowheads="1"/>
        </xdr:cNvSpPr>
      </xdr:nvSpPr>
      <xdr:spPr bwMode="auto">
        <a:xfrm>
          <a:off x="4257675" y="123748800"/>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431" name="Text Box 3">
          <a:extLst>
            <a:ext uri="{FF2B5EF4-FFF2-40B4-BE49-F238E27FC236}">
              <a16:creationId xmlns:a16="http://schemas.microsoft.com/office/drawing/2014/main" id="{4FD6ADC4-1AC7-4E3C-8B16-50E0FE3D6D8F}"/>
            </a:ext>
          </a:extLst>
        </xdr:cNvPr>
        <xdr:cNvSpPr txBox="1">
          <a:spLocks noChangeArrowheads="1"/>
        </xdr:cNvSpPr>
      </xdr:nvSpPr>
      <xdr:spPr bwMode="auto">
        <a:xfrm>
          <a:off x="4257675" y="123748800"/>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432" name="Text Box 3">
          <a:extLst>
            <a:ext uri="{FF2B5EF4-FFF2-40B4-BE49-F238E27FC236}">
              <a16:creationId xmlns:a16="http://schemas.microsoft.com/office/drawing/2014/main" id="{79C1CA1C-9DA0-4845-9DFD-C019A46F1E09}"/>
            </a:ext>
          </a:extLst>
        </xdr:cNvPr>
        <xdr:cNvSpPr txBox="1">
          <a:spLocks noChangeArrowheads="1"/>
        </xdr:cNvSpPr>
      </xdr:nvSpPr>
      <xdr:spPr bwMode="auto">
        <a:xfrm>
          <a:off x="4257675" y="123748800"/>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433" name="Text Box 3">
          <a:extLst>
            <a:ext uri="{FF2B5EF4-FFF2-40B4-BE49-F238E27FC236}">
              <a16:creationId xmlns:a16="http://schemas.microsoft.com/office/drawing/2014/main" id="{3CB33B6F-55DF-4856-AD19-39DEB7EFF4CB}"/>
            </a:ext>
          </a:extLst>
        </xdr:cNvPr>
        <xdr:cNvSpPr txBox="1">
          <a:spLocks noChangeArrowheads="1"/>
        </xdr:cNvSpPr>
      </xdr:nvSpPr>
      <xdr:spPr bwMode="auto">
        <a:xfrm>
          <a:off x="4257675" y="123748800"/>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434" name="Text Box 3">
          <a:extLst>
            <a:ext uri="{FF2B5EF4-FFF2-40B4-BE49-F238E27FC236}">
              <a16:creationId xmlns:a16="http://schemas.microsoft.com/office/drawing/2014/main" id="{BB1CE731-BA8E-453E-9FD5-904F1F493426}"/>
            </a:ext>
          </a:extLst>
        </xdr:cNvPr>
        <xdr:cNvSpPr txBox="1">
          <a:spLocks noChangeArrowheads="1"/>
        </xdr:cNvSpPr>
      </xdr:nvSpPr>
      <xdr:spPr bwMode="auto">
        <a:xfrm>
          <a:off x="4257675" y="123748800"/>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435" name="Text Box 3">
          <a:extLst>
            <a:ext uri="{FF2B5EF4-FFF2-40B4-BE49-F238E27FC236}">
              <a16:creationId xmlns:a16="http://schemas.microsoft.com/office/drawing/2014/main" id="{D2BDABF3-6635-472B-8519-FE1A3E8A337A}"/>
            </a:ext>
          </a:extLst>
        </xdr:cNvPr>
        <xdr:cNvSpPr txBox="1">
          <a:spLocks noChangeArrowheads="1"/>
        </xdr:cNvSpPr>
      </xdr:nvSpPr>
      <xdr:spPr bwMode="auto">
        <a:xfrm>
          <a:off x="4257675" y="123748800"/>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436" name="Text Box 3">
          <a:extLst>
            <a:ext uri="{FF2B5EF4-FFF2-40B4-BE49-F238E27FC236}">
              <a16:creationId xmlns:a16="http://schemas.microsoft.com/office/drawing/2014/main" id="{CC304D3E-0E71-427A-8768-F05CDECB6593}"/>
            </a:ext>
          </a:extLst>
        </xdr:cNvPr>
        <xdr:cNvSpPr txBox="1">
          <a:spLocks noChangeArrowheads="1"/>
        </xdr:cNvSpPr>
      </xdr:nvSpPr>
      <xdr:spPr bwMode="auto">
        <a:xfrm>
          <a:off x="4257675" y="123748800"/>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437" name="Text Box 3">
          <a:extLst>
            <a:ext uri="{FF2B5EF4-FFF2-40B4-BE49-F238E27FC236}">
              <a16:creationId xmlns:a16="http://schemas.microsoft.com/office/drawing/2014/main" id="{45C0FFD8-CBC7-4466-9287-5AE1E272F763}"/>
            </a:ext>
          </a:extLst>
        </xdr:cNvPr>
        <xdr:cNvSpPr txBox="1">
          <a:spLocks noChangeArrowheads="1"/>
        </xdr:cNvSpPr>
      </xdr:nvSpPr>
      <xdr:spPr bwMode="auto">
        <a:xfrm>
          <a:off x="4257675" y="123748800"/>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438" name="Text Box 3">
          <a:extLst>
            <a:ext uri="{FF2B5EF4-FFF2-40B4-BE49-F238E27FC236}">
              <a16:creationId xmlns:a16="http://schemas.microsoft.com/office/drawing/2014/main" id="{9B60C1BD-E4C3-46C1-85D8-2A9399CFF2CA}"/>
            </a:ext>
          </a:extLst>
        </xdr:cNvPr>
        <xdr:cNvSpPr txBox="1">
          <a:spLocks noChangeArrowheads="1"/>
        </xdr:cNvSpPr>
      </xdr:nvSpPr>
      <xdr:spPr bwMode="auto">
        <a:xfrm>
          <a:off x="4257675" y="123748800"/>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439" name="Text Box 3">
          <a:extLst>
            <a:ext uri="{FF2B5EF4-FFF2-40B4-BE49-F238E27FC236}">
              <a16:creationId xmlns:a16="http://schemas.microsoft.com/office/drawing/2014/main" id="{25D55ED4-EDC4-403D-96AA-012875E17CEA}"/>
            </a:ext>
          </a:extLst>
        </xdr:cNvPr>
        <xdr:cNvSpPr txBox="1">
          <a:spLocks noChangeArrowheads="1"/>
        </xdr:cNvSpPr>
      </xdr:nvSpPr>
      <xdr:spPr bwMode="auto">
        <a:xfrm>
          <a:off x="4257675" y="123748800"/>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440" name="Text Box 3">
          <a:extLst>
            <a:ext uri="{FF2B5EF4-FFF2-40B4-BE49-F238E27FC236}">
              <a16:creationId xmlns:a16="http://schemas.microsoft.com/office/drawing/2014/main" id="{46C97FFD-B20A-43DB-B0F0-29ED918A624A}"/>
            </a:ext>
          </a:extLst>
        </xdr:cNvPr>
        <xdr:cNvSpPr txBox="1">
          <a:spLocks noChangeArrowheads="1"/>
        </xdr:cNvSpPr>
      </xdr:nvSpPr>
      <xdr:spPr bwMode="auto">
        <a:xfrm>
          <a:off x="4257675" y="123748800"/>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441" name="Text Box 3">
          <a:extLst>
            <a:ext uri="{FF2B5EF4-FFF2-40B4-BE49-F238E27FC236}">
              <a16:creationId xmlns:a16="http://schemas.microsoft.com/office/drawing/2014/main" id="{E9BAC59E-CA4F-4509-9D64-4588E5E0D69E}"/>
            </a:ext>
          </a:extLst>
        </xdr:cNvPr>
        <xdr:cNvSpPr txBox="1">
          <a:spLocks noChangeArrowheads="1"/>
        </xdr:cNvSpPr>
      </xdr:nvSpPr>
      <xdr:spPr bwMode="auto">
        <a:xfrm>
          <a:off x="4257675" y="123748800"/>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442" name="Text Box 3">
          <a:extLst>
            <a:ext uri="{FF2B5EF4-FFF2-40B4-BE49-F238E27FC236}">
              <a16:creationId xmlns:a16="http://schemas.microsoft.com/office/drawing/2014/main" id="{71B810E3-7AD7-4561-AC85-B24554094310}"/>
            </a:ext>
          </a:extLst>
        </xdr:cNvPr>
        <xdr:cNvSpPr txBox="1">
          <a:spLocks noChangeArrowheads="1"/>
        </xdr:cNvSpPr>
      </xdr:nvSpPr>
      <xdr:spPr bwMode="auto">
        <a:xfrm>
          <a:off x="4257675" y="123748800"/>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443" name="Text Box 3">
          <a:extLst>
            <a:ext uri="{FF2B5EF4-FFF2-40B4-BE49-F238E27FC236}">
              <a16:creationId xmlns:a16="http://schemas.microsoft.com/office/drawing/2014/main" id="{DF1905D9-7FE4-4348-B74C-A286BAE34565}"/>
            </a:ext>
          </a:extLst>
        </xdr:cNvPr>
        <xdr:cNvSpPr txBox="1">
          <a:spLocks noChangeArrowheads="1"/>
        </xdr:cNvSpPr>
      </xdr:nvSpPr>
      <xdr:spPr bwMode="auto">
        <a:xfrm>
          <a:off x="4257675" y="123748800"/>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444" name="Text Box 3">
          <a:extLst>
            <a:ext uri="{FF2B5EF4-FFF2-40B4-BE49-F238E27FC236}">
              <a16:creationId xmlns:a16="http://schemas.microsoft.com/office/drawing/2014/main" id="{0F575A83-DBCD-424A-98CB-85BF77D5A4D6}"/>
            </a:ext>
          </a:extLst>
        </xdr:cNvPr>
        <xdr:cNvSpPr txBox="1">
          <a:spLocks noChangeArrowheads="1"/>
        </xdr:cNvSpPr>
      </xdr:nvSpPr>
      <xdr:spPr bwMode="auto">
        <a:xfrm>
          <a:off x="4257675" y="123748800"/>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445" name="Text Box 3">
          <a:extLst>
            <a:ext uri="{FF2B5EF4-FFF2-40B4-BE49-F238E27FC236}">
              <a16:creationId xmlns:a16="http://schemas.microsoft.com/office/drawing/2014/main" id="{D1E5CE81-2143-462D-B130-7A916F70F5C7}"/>
            </a:ext>
          </a:extLst>
        </xdr:cNvPr>
        <xdr:cNvSpPr txBox="1">
          <a:spLocks noChangeArrowheads="1"/>
        </xdr:cNvSpPr>
      </xdr:nvSpPr>
      <xdr:spPr bwMode="auto">
        <a:xfrm>
          <a:off x="4257675" y="123748800"/>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446" name="Text Box 3">
          <a:extLst>
            <a:ext uri="{FF2B5EF4-FFF2-40B4-BE49-F238E27FC236}">
              <a16:creationId xmlns:a16="http://schemas.microsoft.com/office/drawing/2014/main" id="{D3D446A3-2299-4CA7-B6CF-75B2BCE6C4A7}"/>
            </a:ext>
          </a:extLst>
        </xdr:cNvPr>
        <xdr:cNvSpPr txBox="1">
          <a:spLocks noChangeArrowheads="1"/>
        </xdr:cNvSpPr>
      </xdr:nvSpPr>
      <xdr:spPr bwMode="auto">
        <a:xfrm>
          <a:off x="4257675" y="123748800"/>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447" name="Text Box 3">
          <a:extLst>
            <a:ext uri="{FF2B5EF4-FFF2-40B4-BE49-F238E27FC236}">
              <a16:creationId xmlns:a16="http://schemas.microsoft.com/office/drawing/2014/main" id="{71B32784-178C-4438-B2A2-3137BDC17AD7}"/>
            </a:ext>
          </a:extLst>
        </xdr:cNvPr>
        <xdr:cNvSpPr txBox="1">
          <a:spLocks noChangeArrowheads="1"/>
        </xdr:cNvSpPr>
      </xdr:nvSpPr>
      <xdr:spPr bwMode="auto">
        <a:xfrm>
          <a:off x="4257675" y="123748800"/>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448" name="Text Box 3">
          <a:extLst>
            <a:ext uri="{FF2B5EF4-FFF2-40B4-BE49-F238E27FC236}">
              <a16:creationId xmlns:a16="http://schemas.microsoft.com/office/drawing/2014/main" id="{D5FA2C6B-1218-44A9-A803-38D7639AC8AA}"/>
            </a:ext>
          </a:extLst>
        </xdr:cNvPr>
        <xdr:cNvSpPr txBox="1">
          <a:spLocks noChangeArrowheads="1"/>
        </xdr:cNvSpPr>
      </xdr:nvSpPr>
      <xdr:spPr bwMode="auto">
        <a:xfrm>
          <a:off x="4257675" y="123748800"/>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449" name="Text Box 3">
          <a:extLst>
            <a:ext uri="{FF2B5EF4-FFF2-40B4-BE49-F238E27FC236}">
              <a16:creationId xmlns:a16="http://schemas.microsoft.com/office/drawing/2014/main" id="{B6173207-23BB-476E-A40E-6851EC549FBD}"/>
            </a:ext>
          </a:extLst>
        </xdr:cNvPr>
        <xdr:cNvSpPr txBox="1">
          <a:spLocks noChangeArrowheads="1"/>
        </xdr:cNvSpPr>
      </xdr:nvSpPr>
      <xdr:spPr bwMode="auto">
        <a:xfrm>
          <a:off x="4257675" y="123748800"/>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450" name="Text Box 3">
          <a:extLst>
            <a:ext uri="{FF2B5EF4-FFF2-40B4-BE49-F238E27FC236}">
              <a16:creationId xmlns:a16="http://schemas.microsoft.com/office/drawing/2014/main" id="{CAEF9CE1-5232-47AD-A99A-6DFBAB4F3323}"/>
            </a:ext>
          </a:extLst>
        </xdr:cNvPr>
        <xdr:cNvSpPr txBox="1">
          <a:spLocks noChangeArrowheads="1"/>
        </xdr:cNvSpPr>
      </xdr:nvSpPr>
      <xdr:spPr bwMode="auto">
        <a:xfrm>
          <a:off x="4257675" y="123748800"/>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451" name="Text Box 3">
          <a:extLst>
            <a:ext uri="{FF2B5EF4-FFF2-40B4-BE49-F238E27FC236}">
              <a16:creationId xmlns:a16="http://schemas.microsoft.com/office/drawing/2014/main" id="{D8C73D3B-DABA-45B9-82E7-ED2BAAEEA81E}"/>
            </a:ext>
          </a:extLst>
        </xdr:cNvPr>
        <xdr:cNvSpPr txBox="1">
          <a:spLocks noChangeArrowheads="1"/>
        </xdr:cNvSpPr>
      </xdr:nvSpPr>
      <xdr:spPr bwMode="auto">
        <a:xfrm>
          <a:off x="4257675" y="123748800"/>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452" name="Text Box 3">
          <a:extLst>
            <a:ext uri="{FF2B5EF4-FFF2-40B4-BE49-F238E27FC236}">
              <a16:creationId xmlns:a16="http://schemas.microsoft.com/office/drawing/2014/main" id="{8EC8D189-55E6-4F39-BA0D-C77EF3DB3182}"/>
            </a:ext>
          </a:extLst>
        </xdr:cNvPr>
        <xdr:cNvSpPr txBox="1">
          <a:spLocks noChangeArrowheads="1"/>
        </xdr:cNvSpPr>
      </xdr:nvSpPr>
      <xdr:spPr bwMode="auto">
        <a:xfrm>
          <a:off x="4257675" y="123748800"/>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453" name="Text Box 3">
          <a:extLst>
            <a:ext uri="{FF2B5EF4-FFF2-40B4-BE49-F238E27FC236}">
              <a16:creationId xmlns:a16="http://schemas.microsoft.com/office/drawing/2014/main" id="{2B6392B9-2B9D-4D8D-BFF1-CE0DAA322EC5}"/>
            </a:ext>
          </a:extLst>
        </xdr:cNvPr>
        <xdr:cNvSpPr txBox="1">
          <a:spLocks noChangeArrowheads="1"/>
        </xdr:cNvSpPr>
      </xdr:nvSpPr>
      <xdr:spPr bwMode="auto">
        <a:xfrm>
          <a:off x="4257675" y="123748800"/>
          <a:ext cx="76200" cy="200025"/>
        </a:xfrm>
        <a:prstGeom prst="rect">
          <a:avLst/>
        </a:prstGeom>
        <a:noFill/>
        <a:ln w="9525">
          <a:noFill/>
          <a:miter lim="800000"/>
          <a:headEnd/>
          <a:tailEnd/>
        </a:ln>
      </xdr:spPr>
    </xdr:sp>
    <xdr:clientData/>
  </xdr:oneCellAnchor>
  <xdr:oneCellAnchor>
    <xdr:from>
      <xdr:col>6</xdr:col>
      <xdr:colOff>590550</xdr:colOff>
      <xdr:row>752</xdr:row>
      <xdr:rowOff>0</xdr:rowOff>
    </xdr:from>
    <xdr:ext cx="76200" cy="200025"/>
    <xdr:sp macro="" textlink="">
      <xdr:nvSpPr>
        <xdr:cNvPr id="454" name="Text Box 3">
          <a:extLst>
            <a:ext uri="{FF2B5EF4-FFF2-40B4-BE49-F238E27FC236}">
              <a16:creationId xmlns:a16="http://schemas.microsoft.com/office/drawing/2014/main" id="{A1C676F6-2EF1-4A78-8E9C-27BEF16FFEF4}"/>
            </a:ext>
          </a:extLst>
        </xdr:cNvPr>
        <xdr:cNvSpPr txBox="1">
          <a:spLocks noChangeArrowheads="1"/>
        </xdr:cNvSpPr>
      </xdr:nvSpPr>
      <xdr:spPr bwMode="auto">
        <a:xfrm>
          <a:off x="4257675" y="124110750"/>
          <a:ext cx="76200" cy="200025"/>
        </a:xfrm>
        <a:prstGeom prst="rect">
          <a:avLst/>
        </a:prstGeom>
        <a:noFill/>
        <a:ln w="9525">
          <a:noFill/>
          <a:miter lim="800000"/>
          <a:headEnd/>
          <a:tailEnd/>
        </a:ln>
      </xdr:spPr>
    </xdr:sp>
    <xdr:clientData/>
  </xdr:oneCellAnchor>
  <xdr:oneCellAnchor>
    <xdr:from>
      <xdr:col>0</xdr:col>
      <xdr:colOff>0</xdr:colOff>
      <xdr:row>752</xdr:row>
      <xdr:rowOff>0</xdr:rowOff>
    </xdr:from>
    <xdr:ext cx="28575" cy="104775"/>
    <xdr:sp macro="" textlink="">
      <xdr:nvSpPr>
        <xdr:cNvPr id="455" name="Text Box 4">
          <a:extLst>
            <a:ext uri="{FF2B5EF4-FFF2-40B4-BE49-F238E27FC236}">
              <a16:creationId xmlns:a16="http://schemas.microsoft.com/office/drawing/2014/main" id="{BDA99923-1983-4FD6-B89C-02DDADA3A90A}"/>
            </a:ext>
          </a:extLst>
        </xdr:cNvPr>
        <xdr:cNvSpPr txBox="1">
          <a:spLocks noChangeArrowheads="1"/>
        </xdr:cNvSpPr>
      </xdr:nvSpPr>
      <xdr:spPr bwMode="auto">
        <a:xfrm>
          <a:off x="0" y="124110750"/>
          <a:ext cx="28575" cy="104775"/>
        </a:xfrm>
        <a:prstGeom prst="rect">
          <a:avLst/>
        </a:prstGeom>
        <a:noFill/>
        <a:ln w="9525">
          <a:noFill/>
          <a:miter lim="800000"/>
          <a:headEnd/>
          <a:tailEnd/>
        </a:ln>
      </xdr:spPr>
    </xdr:sp>
    <xdr:clientData/>
  </xdr:oneCellAnchor>
  <xdr:oneCellAnchor>
    <xdr:from>
      <xdr:col>6</xdr:col>
      <xdr:colOff>590550</xdr:colOff>
      <xdr:row>751</xdr:row>
      <xdr:rowOff>0</xdr:rowOff>
    </xdr:from>
    <xdr:ext cx="76200" cy="196850"/>
    <xdr:sp macro="" textlink="">
      <xdr:nvSpPr>
        <xdr:cNvPr id="456" name="Text Box 3">
          <a:extLst>
            <a:ext uri="{FF2B5EF4-FFF2-40B4-BE49-F238E27FC236}">
              <a16:creationId xmlns:a16="http://schemas.microsoft.com/office/drawing/2014/main" id="{334B07CC-FC47-4862-B37E-CC4292120314}"/>
            </a:ext>
          </a:extLst>
        </xdr:cNvPr>
        <xdr:cNvSpPr txBox="1">
          <a:spLocks noChangeArrowheads="1"/>
        </xdr:cNvSpPr>
      </xdr:nvSpPr>
      <xdr:spPr bwMode="auto">
        <a:xfrm>
          <a:off x="4257675" y="123910725"/>
          <a:ext cx="76200" cy="196850"/>
        </a:xfrm>
        <a:prstGeom prst="rect">
          <a:avLst/>
        </a:prstGeom>
        <a:noFill/>
        <a:ln w="9525">
          <a:noFill/>
          <a:miter lim="800000"/>
          <a:headEnd/>
          <a:tailEnd/>
        </a:ln>
      </xdr:spPr>
    </xdr:sp>
    <xdr:clientData/>
  </xdr:oneCellAnchor>
  <xdr:oneCellAnchor>
    <xdr:from>
      <xdr:col>0</xdr:col>
      <xdr:colOff>0</xdr:colOff>
      <xdr:row>751</xdr:row>
      <xdr:rowOff>0</xdr:rowOff>
    </xdr:from>
    <xdr:ext cx="28575" cy="104775"/>
    <xdr:sp macro="" textlink="">
      <xdr:nvSpPr>
        <xdr:cNvPr id="457" name="Text Box 4">
          <a:extLst>
            <a:ext uri="{FF2B5EF4-FFF2-40B4-BE49-F238E27FC236}">
              <a16:creationId xmlns:a16="http://schemas.microsoft.com/office/drawing/2014/main" id="{40B1A517-4BCB-4F9D-9DE2-CF79D28F6156}"/>
            </a:ext>
          </a:extLst>
        </xdr:cNvPr>
        <xdr:cNvSpPr txBox="1">
          <a:spLocks noChangeArrowheads="1"/>
        </xdr:cNvSpPr>
      </xdr:nvSpPr>
      <xdr:spPr bwMode="auto">
        <a:xfrm>
          <a:off x="0" y="123910725"/>
          <a:ext cx="28575" cy="10477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458" name="Text Box 3">
          <a:extLst>
            <a:ext uri="{FF2B5EF4-FFF2-40B4-BE49-F238E27FC236}">
              <a16:creationId xmlns:a16="http://schemas.microsoft.com/office/drawing/2014/main" id="{30596150-DFDA-4BD7-81C1-4B8007B526C4}"/>
            </a:ext>
          </a:extLst>
        </xdr:cNvPr>
        <xdr:cNvSpPr txBox="1">
          <a:spLocks noChangeArrowheads="1"/>
        </xdr:cNvSpPr>
      </xdr:nvSpPr>
      <xdr:spPr bwMode="auto">
        <a:xfrm>
          <a:off x="4257675" y="133321425"/>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459" name="Text Box 3">
          <a:extLst>
            <a:ext uri="{FF2B5EF4-FFF2-40B4-BE49-F238E27FC236}">
              <a16:creationId xmlns:a16="http://schemas.microsoft.com/office/drawing/2014/main" id="{723C4A83-AFD7-4C74-B40A-7969E0482156}"/>
            </a:ext>
          </a:extLst>
        </xdr:cNvPr>
        <xdr:cNvSpPr txBox="1">
          <a:spLocks noChangeArrowheads="1"/>
        </xdr:cNvSpPr>
      </xdr:nvSpPr>
      <xdr:spPr bwMode="auto">
        <a:xfrm>
          <a:off x="4257675" y="133321425"/>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460" name="Text Box 3">
          <a:extLst>
            <a:ext uri="{FF2B5EF4-FFF2-40B4-BE49-F238E27FC236}">
              <a16:creationId xmlns:a16="http://schemas.microsoft.com/office/drawing/2014/main" id="{951B12F6-DFC8-4AD7-8CF1-FF1E0DA21B67}"/>
            </a:ext>
          </a:extLst>
        </xdr:cNvPr>
        <xdr:cNvSpPr txBox="1">
          <a:spLocks noChangeArrowheads="1"/>
        </xdr:cNvSpPr>
      </xdr:nvSpPr>
      <xdr:spPr bwMode="auto">
        <a:xfrm>
          <a:off x="4257675" y="133321425"/>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461" name="Text Box 3">
          <a:extLst>
            <a:ext uri="{FF2B5EF4-FFF2-40B4-BE49-F238E27FC236}">
              <a16:creationId xmlns:a16="http://schemas.microsoft.com/office/drawing/2014/main" id="{441F49F8-9EF2-41D9-BD85-2DB6A5DDDB56}"/>
            </a:ext>
          </a:extLst>
        </xdr:cNvPr>
        <xdr:cNvSpPr txBox="1">
          <a:spLocks noChangeArrowheads="1"/>
        </xdr:cNvSpPr>
      </xdr:nvSpPr>
      <xdr:spPr bwMode="auto">
        <a:xfrm>
          <a:off x="4257675" y="133321425"/>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462" name="Text Box 3">
          <a:extLst>
            <a:ext uri="{FF2B5EF4-FFF2-40B4-BE49-F238E27FC236}">
              <a16:creationId xmlns:a16="http://schemas.microsoft.com/office/drawing/2014/main" id="{16980D7A-6E21-4E11-B51A-493DA3B6BF5F}"/>
            </a:ext>
          </a:extLst>
        </xdr:cNvPr>
        <xdr:cNvSpPr txBox="1">
          <a:spLocks noChangeArrowheads="1"/>
        </xdr:cNvSpPr>
      </xdr:nvSpPr>
      <xdr:spPr bwMode="auto">
        <a:xfrm>
          <a:off x="4257675" y="133321425"/>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463" name="Text Box 3">
          <a:extLst>
            <a:ext uri="{FF2B5EF4-FFF2-40B4-BE49-F238E27FC236}">
              <a16:creationId xmlns:a16="http://schemas.microsoft.com/office/drawing/2014/main" id="{B7AD61A1-68D8-4276-A43E-4AFBA62DFC5E}"/>
            </a:ext>
          </a:extLst>
        </xdr:cNvPr>
        <xdr:cNvSpPr txBox="1">
          <a:spLocks noChangeArrowheads="1"/>
        </xdr:cNvSpPr>
      </xdr:nvSpPr>
      <xdr:spPr bwMode="auto">
        <a:xfrm>
          <a:off x="4257675" y="133321425"/>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464" name="Text Box 3">
          <a:extLst>
            <a:ext uri="{FF2B5EF4-FFF2-40B4-BE49-F238E27FC236}">
              <a16:creationId xmlns:a16="http://schemas.microsoft.com/office/drawing/2014/main" id="{B7F0F59C-2F0A-4530-BAA0-3D5BAB08A47D}"/>
            </a:ext>
          </a:extLst>
        </xdr:cNvPr>
        <xdr:cNvSpPr txBox="1">
          <a:spLocks noChangeArrowheads="1"/>
        </xdr:cNvSpPr>
      </xdr:nvSpPr>
      <xdr:spPr bwMode="auto">
        <a:xfrm>
          <a:off x="4257675" y="133321425"/>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465" name="Text Box 3">
          <a:extLst>
            <a:ext uri="{FF2B5EF4-FFF2-40B4-BE49-F238E27FC236}">
              <a16:creationId xmlns:a16="http://schemas.microsoft.com/office/drawing/2014/main" id="{BA806529-A5E9-444F-A13B-89E3CDB79818}"/>
            </a:ext>
          </a:extLst>
        </xdr:cNvPr>
        <xdr:cNvSpPr txBox="1">
          <a:spLocks noChangeArrowheads="1"/>
        </xdr:cNvSpPr>
      </xdr:nvSpPr>
      <xdr:spPr bwMode="auto">
        <a:xfrm>
          <a:off x="4257675" y="133321425"/>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466" name="Text Box 3">
          <a:extLst>
            <a:ext uri="{FF2B5EF4-FFF2-40B4-BE49-F238E27FC236}">
              <a16:creationId xmlns:a16="http://schemas.microsoft.com/office/drawing/2014/main" id="{9EDB09F6-6FAE-49C0-ABF6-3162A2D236E0}"/>
            </a:ext>
          </a:extLst>
        </xdr:cNvPr>
        <xdr:cNvSpPr txBox="1">
          <a:spLocks noChangeArrowheads="1"/>
        </xdr:cNvSpPr>
      </xdr:nvSpPr>
      <xdr:spPr bwMode="auto">
        <a:xfrm>
          <a:off x="4257675" y="133321425"/>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467" name="Text Box 3">
          <a:extLst>
            <a:ext uri="{FF2B5EF4-FFF2-40B4-BE49-F238E27FC236}">
              <a16:creationId xmlns:a16="http://schemas.microsoft.com/office/drawing/2014/main" id="{9C9A0AB6-EEE7-47C1-926D-999D40596716}"/>
            </a:ext>
          </a:extLst>
        </xdr:cNvPr>
        <xdr:cNvSpPr txBox="1">
          <a:spLocks noChangeArrowheads="1"/>
        </xdr:cNvSpPr>
      </xdr:nvSpPr>
      <xdr:spPr bwMode="auto">
        <a:xfrm>
          <a:off x="4257675" y="133321425"/>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468" name="Text Box 3">
          <a:extLst>
            <a:ext uri="{FF2B5EF4-FFF2-40B4-BE49-F238E27FC236}">
              <a16:creationId xmlns:a16="http://schemas.microsoft.com/office/drawing/2014/main" id="{63CF2055-6784-4251-A197-DB3691D1CC90}"/>
            </a:ext>
          </a:extLst>
        </xdr:cNvPr>
        <xdr:cNvSpPr txBox="1">
          <a:spLocks noChangeArrowheads="1"/>
        </xdr:cNvSpPr>
      </xdr:nvSpPr>
      <xdr:spPr bwMode="auto">
        <a:xfrm>
          <a:off x="4257675" y="133321425"/>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469" name="Text Box 3">
          <a:extLst>
            <a:ext uri="{FF2B5EF4-FFF2-40B4-BE49-F238E27FC236}">
              <a16:creationId xmlns:a16="http://schemas.microsoft.com/office/drawing/2014/main" id="{69D94478-D9E4-4B6A-BF9E-8CF714A28A94}"/>
            </a:ext>
          </a:extLst>
        </xdr:cNvPr>
        <xdr:cNvSpPr txBox="1">
          <a:spLocks noChangeArrowheads="1"/>
        </xdr:cNvSpPr>
      </xdr:nvSpPr>
      <xdr:spPr bwMode="auto">
        <a:xfrm>
          <a:off x="4257675" y="133321425"/>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470" name="Text Box 3">
          <a:extLst>
            <a:ext uri="{FF2B5EF4-FFF2-40B4-BE49-F238E27FC236}">
              <a16:creationId xmlns:a16="http://schemas.microsoft.com/office/drawing/2014/main" id="{26759474-B371-4287-8E8A-54409AA82598}"/>
            </a:ext>
          </a:extLst>
        </xdr:cNvPr>
        <xdr:cNvSpPr txBox="1">
          <a:spLocks noChangeArrowheads="1"/>
        </xdr:cNvSpPr>
      </xdr:nvSpPr>
      <xdr:spPr bwMode="auto">
        <a:xfrm>
          <a:off x="4257675" y="133321425"/>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471" name="Text Box 3">
          <a:extLst>
            <a:ext uri="{FF2B5EF4-FFF2-40B4-BE49-F238E27FC236}">
              <a16:creationId xmlns:a16="http://schemas.microsoft.com/office/drawing/2014/main" id="{4EAA9BF3-274B-41B9-9155-ADFCE751D6B6}"/>
            </a:ext>
          </a:extLst>
        </xdr:cNvPr>
        <xdr:cNvSpPr txBox="1">
          <a:spLocks noChangeArrowheads="1"/>
        </xdr:cNvSpPr>
      </xdr:nvSpPr>
      <xdr:spPr bwMode="auto">
        <a:xfrm>
          <a:off x="4257675" y="133321425"/>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472" name="Text Box 3">
          <a:extLst>
            <a:ext uri="{FF2B5EF4-FFF2-40B4-BE49-F238E27FC236}">
              <a16:creationId xmlns:a16="http://schemas.microsoft.com/office/drawing/2014/main" id="{58A427B7-5744-4E43-B102-62F1FE4357F2}"/>
            </a:ext>
          </a:extLst>
        </xdr:cNvPr>
        <xdr:cNvSpPr txBox="1">
          <a:spLocks noChangeArrowheads="1"/>
        </xdr:cNvSpPr>
      </xdr:nvSpPr>
      <xdr:spPr bwMode="auto">
        <a:xfrm>
          <a:off x="4257675" y="133321425"/>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473" name="Text Box 3">
          <a:extLst>
            <a:ext uri="{FF2B5EF4-FFF2-40B4-BE49-F238E27FC236}">
              <a16:creationId xmlns:a16="http://schemas.microsoft.com/office/drawing/2014/main" id="{BF6030DB-768C-4012-A472-CC73DA2605D8}"/>
            </a:ext>
          </a:extLst>
        </xdr:cNvPr>
        <xdr:cNvSpPr txBox="1">
          <a:spLocks noChangeArrowheads="1"/>
        </xdr:cNvSpPr>
      </xdr:nvSpPr>
      <xdr:spPr bwMode="auto">
        <a:xfrm>
          <a:off x="4257675" y="133321425"/>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474" name="Text Box 3">
          <a:extLst>
            <a:ext uri="{FF2B5EF4-FFF2-40B4-BE49-F238E27FC236}">
              <a16:creationId xmlns:a16="http://schemas.microsoft.com/office/drawing/2014/main" id="{FE758469-912B-462E-B408-09B6A8E9E43F}"/>
            </a:ext>
          </a:extLst>
        </xdr:cNvPr>
        <xdr:cNvSpPr txBox="1">
          <a:spLocks noChangeArrowheads="1"/>
        </xdr:cNvSpPr>
      </xdr:nvSpPr>
      <xdr:spPr bwMode="auto">
        <a:xfrm>
          <a:off x="4257675" y="133321425"/>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475" name="Text Box 3">
          <a:extLst>
            <a:ext uri="{FF2B5EF4-FFF2-40B4-BE49-F238E27FC236}">
              <a16:creationId xmlns:a16="http://schemas.microsoft.com/office/drawing/2014/main" id="{84D026AD-22F5-4520-AB9B-B4E0A65ACE80}"/>
            </a:ext>
          </a:extLst>
        </xdr:cNvPr>
        <xdr:cNvSpPr txBox="1">
          <a:spLocks noChangeArrowheads="1"/>
        </xdr:cNvSpPr>
      </xdr:nvSpPr>
      <xdr:spPr bwMode="auto">
        <a:xfrm>
          <a:off x="4257675" y="133321425"/>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476" name="Text Box 3">
          <a:extLst>
            <a:ext uri="{FF2B5EF4-FFF2-40B4-BE49-F238E27FC236}">
              <a16:creationId xmlns:a16="http://schemas.microsoft.com/office/drawing/2014/main" id="{9CDDA68C-D7F8-4F66-8130-AB83ACF680CC}"/>
            </a:ext>
          </a:extLst>
        </xdr:cNvPr>
        <xdr:cNvSpPr txBox="1">
          <a:spLocks noChangeArrowheads="1"/>
        </xdr:cNvSpPr>
      </xdr:nvSpPr>
      <xdr:spPr bwMode="auto">
        <a:xfrm>
          <a:off x="4257675" y="133321425"/>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477" name="Text Box 3">
          <a:extLst>
            <a:ext uri="{FF2B5EF4-FFF2-40B4-BE49-F238E27FC236}">
              <a16:creationId xmlns:a16="http://schemas.microsoft.com/office/drawing/2014/main" id="{D11C4F7C-C9AC-42C3-8916-87C4AE734324}"/>
            </a:ext>
          </a:extLst>
        </xdr:cNvPr>
        <xdr:cNvSpPr txBox="1">
          <a:spLocks noChangeArrowheads="1"/>
        </xdr:cNvSpPr>
      </xdr:nvSpPr>
      <xdr:spPr bwMode="auto">
        <a:xfrm>
          <a:off x="4257675" y="133321425"/>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478" name="Text Box 3">
          <a:extLst>
            <a:ext uri="{FF2B5EF4-FFF2-40B4-BE49-F238E27FC236}">
              <a16:creationId xmlns:a16="http://schemas.microsoft.com/office/drawing/2014/main" id="{2D4E6DBE-3B3F-4BD6-9F6C-26F556168763}"/>
            </a:ext>
          </a:extLst>
        </xdr:cNvPr>
        <xdr:cNvSpPr txBox="1">
          <a:spLocks noChangeArrowheads="1"/>
        </xdr:cNvSpPr>
      </xdr:nvSpPr>
      <xdr:spPr bwMode="auto">
        <a:xfrm>
          <a:off x="4257675" y="133321425"/>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479" name="Text Box 3">
          <a:extLst>
            <a:ext uri="{FF2B5EF4-FFF2-40B4-BE49-F238E27FC236}">
              <a16:creationId xmlns:a16="http://schemas.microsoft.com/office/drawing/2014/main" id="{41D2CDF9-EAED-40B5-87DC-B1EFD1A732B4}"/>
            </a:ext>
          </a:extLst>
        </xdr:cNvPr>
        <xdr:cNvSpPr txBox="1">
          <a:spLocks noChangeArrowheads="1"/>
        </xdr:cNvSpPr>
      </xdr:nvSpPr>
      <xdr:spPr bwMode="auto">
        <a:xfrm>
          <a:off x="4257675" y="133321425"/>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480" name="Text Box 3">
          <a:extLst>
            <a:ext uri="{FF2B5EF4-FFF2-40B4-BE49-F238E27FC236}">
              <a16:creationId xmlns:a16="http://schemas.microsoft.com/office/drawing/2014/main" id="{B259CBFD-74EF-446C-AC53-5D7677F8AADA}"/>
            </a:ext>
          </a:extLst>
        </xdr:cNvPr>
        <xdr:cNvSpPr txBox="1">
          <a:spLocks noChangeArrowheads="1"/>
        </xdr:cNvSpPr>
      </xdr:nvSpPr>
      <xdr:spPr bwMode="auto">
        <a:xfrm>
          <a:off x="4257675" y="133321425"/>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481" name="Text Box 3">
          <a:extLst>
            <a:ext uri="{FF2B5EF4-FFF2-40B4-BE49-F238E27FC236}">
              <a16:creationId xmlns:a16="http://schemas.microsoft.com/office/drawing/2014/main" id="{47472EBC-A7B2-42DB-B36A-151878AD5480}"/>
            </a:ext>
          </a:extLst>
        </xdr:cNvPr>
        <xdr:cNvSpPr txBox="1">
          <a:spLocks noChangeArrowheads="1"/>
        </xdr:cNvSpPr>
      </xdr:nvSpPr>
      <xdr:spPr bwMode="auto">
        <a:xfrm>
          <a:off x="4257675" y="133321425"/>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482" name="Text Box 3">
          <a:extLst>
            <a:ext uri="{FF2B5EF4-FFF2-40B4-BE49-F238E27FC236}">
              <a16:creationId xmlns:a16="http://schemas.microsoft.com/office/drawing/2014/main" id="{1EBB8AA6-60A2-428A-AAC4-30906CBD4438}"/>
            </a:ext>
          </a:extLst>
        </xdr:cNvPr>
        <xdr:cNvSpPr txBox="1">
          <a:spLocks noChangeArrowheads="1"/>
        </xdr:cNvSpPr>
      </xdr:nvSpPr>
      <xdr:spPr bwMode="auto">
        <a:xfrm>
          <a:off x="4257675" y="133321425"/>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483" name="Text Box 3">
          <a:extLst>
            <a:ext uri="{FF2B5EF4-FFF2-40B4-BE49-F238E27FC236}">
              <a16:creationId xmlns:a16="http://schemas.microsoft.com/office/drawing/2014/main" id="{C10C6CC5-9670-4C3C-803C-199433DE32B2}"/>
            </a:ext>
          </a:extLst>
        </xdr:cNvPr>
        <xdr:cNvSpPr txBox="1">
          <a:spLocks noChangeArrowheads="1"/>
        </xdr:cNvSpPr>
      </xdr:nvSpPr>
      <xdr:spPr bwMode="auto">
        <a:xfrm>
          <a:off x="4257675" y="133321425"/>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484" name="Text Box 3">
          <a:extLst>
            <a:ext uri="{FF2B5EF4-FFF2-40B4-BE49-F238E27FC236}">
              <a16:creationId xmlns:a16="http://schemas.microsoft.com/office/drawing/2014/main" id="{D67D25D5-4485-4621-BC00-95E3A91BABCF}"/>
            </a:ext>
          </a:extLst>
        </xdr:cNvPr>
        <xdr:cNvSpPr txBox="1">
          <a:spLocks noChangeArrowheads="1"/>
        </xdr:cNvSpPr>
      </xdr:nvSpPr>
      <xdr:spPr bwMode="auto">
        <a:xfrm>
          <a:off x="4257675" y="133321425"/>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485" name="Text Box 3">
          <a:extLst>
            <a:ext uri="{FF2B5EF4-FFF2-40B4-BE49-F238E27FC236}">
              <a16:creationId xmlns:a16="http://schemas.microsoft.com/office/drawing/2014/main" id="{8996EE3A-EB4C-4486-968F-2F42106761D1}"/>
            </a:ext>
          </a:extLst>
        </xdr:cNvPr>
        <xdr:cNvSpPr txBox="1">
          <a:spLocks noChangeArrowheads="1"/>
        </xdr:cNvSpPr>
      </xdr:nvSpPr>
      <xdr:spPr bwMode="auto">
        <a:xfrm>
          <a:off x="4257675" y="133321425"/>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486" name="Text Box 3">
          <a:extLst>
            <a:ext uri="{FF2B5EF4-FFF2-40B4-BE49-F238E27FC236}">
              <a16:creationId xmlns:a16="http://schemas.microsoft.com/office/drawing/2014/main" id="{E63833DC-3023-4870-B8E7-EB3EEA91528C}"/>
            </a:ext>
          </a:extLst>
        </xdr:cNvPr>
        <xdr:cNvSpPr txBox="1">
          <a:spLocks noChangeArrowheads="1"/>
        </xdr:cNvSpPr>
      </xdr:nvSpPr>
      <xdr:spPr bwMode="auto">
        <a:xfrm>
          <a:off x="4257675" y="133321425"/>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487" name="Text Box 3">
          <a:extLst>
            <a:ext uri="{FF2B5EF4-FFF2-40B4-BE49-F238E27FC236}">
              <a16:creationId xmlns:a16="http://schemas.microsoft.com/office/drawing/2014/main" id="{912B5FE2-6AD5-4F73-97B1-CB62FD3FC4BA}"/>
            </a:ext>
          </a:extLst>
        </xdr:cNvPr>
        <xdr:cNvSpPr txBox="1">
          <a:spLocks noChangeArrowheads="1"/>
        </xdr:cNvSpPr>
      </xdr:nvSpPr>
      <xdr:spPr bwMode="auto">
        <a:xfrm>
          <a:off x="4257675" y="133321425"/>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488" name="Text Box 3">
          <a:extLst>
            <a:ext uri="{FF2B5EF4-FFF2-40B4-BE49-F238E27FC236}">
              <a16:creationId xmlns:a16="http://schemas.microsoft.com/office/drawing/2014/main" id="{402FC1B6-FED0-4587-8B01-F46CB8FABD13}"/>
            </a:ext>
          </a:extLst>
        </xdr:cNvPr>
        <xdr:cNvSpPr txBox="1">
          <a:spLocks noChangeArrowheads="1"/>
        </xdr:cNvSpPr>
      </xdr:nvSpPr>
      <xdr:spPr bwMode="auto">
        <a:xfrm>
          <a:off x="4257675" y="133321425"/>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489" name="Text Box 3">
          <a:extLst>
            <a:ext uri="{FF2B5EF4-FFF2-40B4-BE49-F238E27FC236}">
              <a16:creationId xmlns:a16="http://schemas.microsoft.com/office/drawing/2014/main" id="{0786673B-1FAB-4B6D-ACCF-89FA75E056F3}"/>
            </a:ext>
          </a:extLst>
        </xdr:cNvPr>
        <xdr:cNvSpPr txBox="1">
          <a:spLocks noChangeArrowheads="1"/>
        </xdr:cNvSpPr>
      </xdr:nvSpPr>
      <xdr:spPr bwMode="auto">
        <a:xfrm>
          <a:off x="4257675" y="133321425"/>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490" name="Text Box 3">
          <a:extLst>
            <a:ext uri="{FF2B5EF4-FFF2-40B4-BE49-F238E27FC236}">
              <a16:creationId xmlns:a16="http://schemas.microsoft.com/office/drawing/2014/main" id="{7222F7AB-E3A4-4C7F-A776-6144F8351E6D}"/>
            </a:ext>
          </a:extLst>
        </xdr:cNvPr>
        <xdr:cNvSpPr txBox="1">
          <a:spLocks noChangeArrowheads="1"/>
        </xdr:cNvSpPr>
      </xdr:nvSpPr>
      <xdr:spPr bwMode="auto">
        <a:xfrm>
          <a:off x="4257675" y="133321425"/>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491" name="Text Box 3">
          <a:extLst>
            <a:ext uri="{FF2B5EF4-FFF2-40B4-BE49-F238E27FC236}">
              <a16:creationId xmlns:a16="http://schemas.microsoft.com/office/drawing/2014/main" id="{785FC8F2-9915-4FCF-B7EB-23177168CAFC}"/>
            </a:ext>
          </a:extLst>
        </xdr:cNvPr>
        <xdr:cNvSpPr txBox="1">
          <a:spLocks noChangeArrowheads="1"/>
        </xdr:cNvSpPr>
      </xdr:nvSpPr>
      <xdr:spPr bwMode="auto">
        <a:xfrm>
          <a:off x="4257675" y="133321425"/>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492" name="Text Box 3">
          <a:extLst>
            <a:ext uri="{FF2B5EF4-FFF2-40B4-BE49-F238E27FC236}">
              <a16:creationId xmlns:a16="http://schemas.microsoft.com/office/drawing/2014/main" id="{57EE269A-F969-4720-AF33-6638A5164715}"/>
            </a:ext>
          </a:extLst>
        </xdr:cNvPr>
        <xdr:cNvSpPr txBox="1">
          <a:spLocks noChangeArrowheads="1"/>
        </xdr:cNvSpPr>
      </xdr:nvSpPr>
      <xdr:spPr bwMode="auto">
        <a:xfrm>
          <a:off x="4257675" y="133321425"/>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493" name="Text Box 3">
          <a:extLst>
            <a:ext uri="{FF2B5EF4-FFF2-40B4-BE49-F238E27FC236}">
              <a16:creationId xmlns:a16="http://schemas.microsoft.com/office/drawing/2014/main" id="{C27887FC-BFBF-4848-A12D-55FC5AFF12AE}"/>
            </a:ext>
          </a:extLst>
        </xdr:cNvPr>
        <xdr:cNvSpPr txBox="1">
          <a:spLocks noChangeArrowheads="1"/>
        </xdr:cNvSpPr>
      </xdr:nvSpPr>
      <xdr:spPr bwMode="auto">
        <a:xfrm>
          <a:off x="4257675" y="133321425"/>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494" name="Text Box 3">
          <a:extLst>
            <a:ext uri="{FF2B5EF4-FFF2-40B4-BE49-F238E27FC236}">
              <a16:creationId xmlns:a16="http://schemas.microsoft.com/office/drawing/2014/main" id="{D280F856-6B99-4D22-96D5-B537A62AA1BD}"/>
            </a:ext>
          </a:extLst>
        </xdr:cNvPr>
        <xdr:cNvSpPr txBox="1">
          <a:spLocks noChangeArrowheads="1"/>
        </xdr:cNvSpPr>
      </xdr:nvSpPr>
      <xdr:spPr bwMode="auto">
        <a:xfrm>
          <a:off x="4257675" y="133321425"/>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495" name="Text Box 3">
          <a:extLst>
            <a:ext uri="{FF2B5EF4-FFF2-40B4-BE49-F238E27FC236}">
              <a16:creationId xmlns:a16="http://schemas.microsoft.com/office/drawing/2014/main" id="{F71C23BB-0527-4369-9213-911EB1CFD9BC}"/>
            </a:ext>
          </a:extLst>
        </xdr:cNvPr>
        <xdr:cNvSpPr txBox="1">
          <a:spLocks noChangeArrowheads="1"/>
        </xdr:cNvSpPr>
      </xdr:nvSpPr>
      <xdr:spPr bwMode="auto">
        <a:xfrm>
          <a:off x="4257675" y="133321425"/>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496" name="Text Box 3">
          <a:extLst>
            <a:ext uri="{FF2B5EF4-FFF2-40B4-BE49-F238E27FC236}">
              <a16:creationId xmlns:a16="http://schemas.microsoft.com/office/drawing/2014/main" id="{805C9E99-F4DB-4CCA-BDEF-7842CAAD0DC4}"/>
            </a:ext>
          </a:extLst>
        </xdr:cNvPr>
        <xdr:cNvSpPr txBox="1">
          <a:spLocks noChangeArrowheads="1"/>
        </xdr:cNvSpPr>
      </xdr:nvSpPr>
      <xdr:spPr bwMode="auto">
        <a:xfrm>
          <a:off x="4257675" y="133321425"/>
          <a:ext cx="76200" cy="200025"/>
        </a:xfrm>
        <a:prstGeom prst="rect">
          <a:avLst/>
        </a:prstGeom>
        <a:noFill/>
        <a:ln w="9525">
          <a:noFill/>
          <a:miter lim="800000"/>
          <a:headEnd/>
          <a:tailEnd/>
        </a:ln>
      </xdr:spPr>
    </xdr:sp>
    <xdr:clientData/>
  </xdr:oneCellAnchor>
  <xdr:oneCellAnchor>
    <xdr:from>
      <xdr:col>6</xdr:col>
      <xdr:colOff>590550</xdr:colOff>
      <xdr:row>810</xdr:row>
      <xdr:rowOff>0</xdr:rowOff>
    </xdr:from>
    <xdr:ext cx="76200" cy="200025"/>
    <xdr:sp macro="" textlink="">
      <xdr:nvSpPr>
        <xdr:cNvPr id="497" name="Text Box 3">
          <a:extLst>
            <a:ext uri="{FF2B5EF4-FFF2-40B4-BE49-F238E27FC236}">
              <a16:creationId xmlns:a16="http://schemas.microsoft.com/office/drawing/2014/main" id="{8E353C4F-3586-433E-B791-437A487A74F6}"/>
            </a:ext>
          </a:extLst>
        </xdr:cNvPr>
        <xdr:cNvSpPr txBox="1">
          <a:spLocks noChangeArrowheads="1"/>
        </xdr:cNvSpPr>
      </xdr:nvSpPr>
      <xdr:spPr bwMode="auto">
        <a:xfrm>
          <a:off x="4257675" y="133683375"/>
          <a:ext cx="76200" cy="200025"/>
        </a:xfrm>
        <a:prstGeom prst="rect">
          <a:avLst/>
        </a:prstGeom>
        <a:noFill/>
        <a:ln w="9525">
          <a:noFill/>
          <a:miter lim="800000"/>
          <a:headEnd/>
          <a:tailEnd/>
        </a:ln>
      </xdr:spPr>
    </xdr:sp>
    <xdr:clientData/>
  </xdr:oneCellAnchor>
  <xdr:oneCellAnchor>
    <xdr:from>
      <xdr:col>0</xdr:col>
      <xdr:colOff>0</xdr:colOff>
      <xdr:row>810</xdr:row>
      <xdr:rowOff>0</xdr:rowOff>
    </xdr:from>
    <xdr:ext cx="28575" cy="104775"/>
    <xdr:sp macro="" textlink="">
      <xdr:nvSpPr>
        <xdr:cNvPr id="498" name="Text Box 4">
          <a:extLst>
            <a:ext uri="{FF2B5EF4-FFF2-40B4-BE49-F238E27FC236}">
              <a16:creationId xmlns:a16="http://schemas.microsoft.com/office/drawing/2014/main" id="{97FE042B-6C4A-4A9C-8678-C7F7D3F62C20}"/>
            </a:ext>
          </a:extLst>
        </xdr:cNvPr>
        <xdr:cNvSpPr txBox="1">
          <a:spLocks noChangeArrowheads="1"/>
        </xdr:cNvSpPr>
      </xdr:nvSpPr>
      <xdr:spPr bwMode="auto">
        <a:xfrm>
          <a:off x="0" y="133683375"/>
          <a:ext cx="28575" cy="104775"/>
        </a:xfrm>
        <a:prstGeom prst="rect">
          <a:avLst/>
        </a:prstGeom>
        <a:noFill/>
        <a:ln w="9525">
          <a:noFill/>
          <a:miter lim="800000"/>
          <a:headEnd/>
          <a:tailEnd/>
        </a:ln>
      </xdr:spPr>
    </xdr:sp>
    <xdr:clientData/>
  </xdr:oneCellAnchor>
  <xdr:oneCellAnchor>
    <xdr:from>
      <xdr:col>6</xdr:col>
      <xdr:colOff>590550</xdr:colOff>
      <xdr:row>809</xdr:row>
      <xdr:rowOff>0</xdr:rowOff>
    </xdr:from>
    <xdr:ext cx="76200" cy="196850"/>
    <xdr:sp macro="" textlink="">
      <xdr:nvSpPr>
        <xdr:cNvPr id="499" name="Text Box 3">
          <a:extLst>
            <a:ext uri="{FF2B5EF4-FFF2-40B4-BE49-F238E27FC236}">
              <a16:creationId xmlns:a16="http://schemas.microsoft.com/office/drawing/2014/main" id="{58974E5E-E1CD-4440-B65A-AC8467FE3EC0}"/>
            </a:ext>
          </a:extLst>
        </xdr:cNvPr>
        <xdr:cNvSpPr txBox="1">
          <a:spLocks noChangeArrowheads="1"/>
        </xdr:cNvSpPr>
      </xdr:nvSpPr>
      <xdr:spPr bwMode="auto">
        <a:xfrm>
          <a:off x="4257675" y="133483350"/>
          <a:ext cx="76200" cy="196850"/>
        </a:xfrm>
        <a:prstGeom prst="rect">
          <a:avLst/>
        </a:prstGeom>
        <a:noFill/>
        <a:ln w="9525">
          <a:noFill/>
          <a:miter lim="800000"/>
          <a:headEnd/>
          <a:tailEnd/>
        </a:ln>
      </xdr:spPr>
    </xdr:sp>
    <xdr:clientData/>
  </xdr:oneCellAnchor>
  <xdr:oneCellAnchor>
    <xdr:from>
      <xdr:col>0</xdr:col>
      <xdr:colOff>0</xdr:colOff>
      <xdr:row>809</xdr:row>
      <xdr:rowOff>0</xdr:rowOff>
    </xdr:from>
    <xdr:ext cx="28575" cy="104775"/>
    <xdr:sp macro="" textlink="">
      <xdr:nvSpPr>
        <xdr:cNvPr id="500" name="Text Box 4">
          <a:extLst>
            <a:ext uri="{FF2B5EF4-FFF2-40B4-BE49-F238E27FC236}">
              <a16:creationId xmlns:a16="http://schemas.microsoft.com/office/drawing/2014/main" id="{AEFBAF15-F795-497E-AF9F-DF0DC26E8231}"/>
            </a:ext>
          </a:extLst>
        </xdr:cNvPr>
        <xdr:cNvSpPr txBox="1">
          <a:spLocks noChangeArrowheads="1"/>
        </xdr:cNvSpPr>
      </xdr:nvSpPr>
      <xdr:spPr bwMode="auto">
        <a:xfrm>
          <a:off x="0" y="133483350"/>
          <a:ext cx="28575" cy="10477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501" name="Text Box 3">
          <a:extLst>
            <a:ext uri="{FF2B5EF4-FFF2-40B4-BE49-F238E27FC236}">
              <a16:creationId xmlns:a16="http://schemas.microsoft.com/office/drawing/2014/main" id="{8F21E5DE-6C0B-4A41-92A1-F734C3C13D5E}"/>
            </a:ext>
          </a:extLst>
        </xdr:cNvPr>
        <xdr:cNvSpPr txBox="1">
          <a:spLocks noChangeArrowheads="1"/>
        </xdr:cNvSpPr>
      </xdr:nvSpPr>
      <xdr:spPr bwMode="auto">
        <a:xfrm>
          <a:off x="4257675" y="142894050"/>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502" name="Text Box 3">
          <a:extLst>
            <a:ext uri="{FF2B5EF4-FFF2-40B4-BE49-F238E27FC236}">
              <a16:creationId xmlns:a16="http://schemas.microsoft.com/office/drawing/2014/main" id="{DB2F0EE2-2A0E-41D1-8586-D7F29F2E2F93}"/>
            </a:ext>
          </a:extLst>
        </xdr:cNvPr>
        <xdr:cNvSpPr txBox="1">
          <a:spLocks noChangeArrowheads="1"/>
        </xdr:cNvSpPr>
      </xdr:nvSpPr>
      <xdr:spPr bwMode="auto">
        <a:xfrm>
          <a:off x="4257675" y="142894050"/>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503" name="Text Box 3">
          <a:extLst>
            <a:ext uri="{FF2B5EF4-FFF2-40B4-BE49-F238E27FC236}">
              <a16:creationId xmlns:a16="http://schemas.microsoft.com/office/drawing/2014/main" id="{8AB1C9A8-B274-421E-8C6F-63CB1F68996F}"/>
            </a:ext>
          </a:extLst>
        </xdr:cNvPr>
        <xdr:cNvSpPr txBox="1">
          <a:spLocks noChangeArrowheads="1"/>
        </xdr:cNvSpPr>
      </xdr:nvSpPr>
      <xdr:spPr bwMode="auto">
        <a:xfrm>
          <a:off x="4257675" y="142894050"/>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504" name="Text Box 3">
          <a:extLst>
            <a:ext uri="{FF2B5EF4-FFF2-40B4-BE49-F238E27FC236}">
              <a16:creationId xmlns:a16="http://schemas.microsoft.com/office/drawing/2014/main" id="{8B564633-312F-4D80-9B42-5A769308A36D}"/>
            </a:ext>
          </a:extLst>
        </xdr:cNvPr>
        <xdr:cNvSpPr txBox="1">
          <a:spLocks noChangeArrowheads="1"/>
        </xdr:cNvSpPr>
      </xdr:nvSpPr>
      <xdr:spPr bwMode="auto">
        <a:xfrm>
          <a:off x="4257675" y="142894050"/>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505" name="Text Box 3">
          <a:extLst>
            <a:ext uri="{FF2B5EF4-FFF2-40B4-BE49-F238E27FC236}">
              <a16:creationId xmlns:a16="http://schemas.microsoft.com/office/drawing/2014/main" id="{0864B117-47BF-4248-844A-4AC0D96B8B5E}"/>
            </a:ext>
          </a:extLst>
        </xdr:cNvPr>
        <xdr:cNvSpPr txBox="1">
          <a:spLocks noChangeArrowheads="1"/>
        </xdr:cNvSpPr>
      </xdr:nvSpPr>
      <xdr:spPr bwMode="auto">
        <a:xfrm>
          <a:off x="4257675" y="142894050"/>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506" name="Text Box 3">
          <a:extLst>
            <a:ext uri="{FF2B5EF4-FFF2-40B4-BE49-F238E27FC236}">
              <a16:creationId xmlns:a16="http://schemas.microsoft.com/office/drawing/2014/main" id="{B7CF7E17-6808-4991-8796-E6C8755C298F}"/>
            </a:ext>
          </a:extLst>
        </xdr:cNvPr>
        <xdr:cNvSpPr txBox="1">
          <a:spLocks noChangeArrowheads="1"/>
        </xdr:cNvSpPr>
      </xdr:nvSpPr>
      <xdr:spPr bwMode="auto">
        <a:xfrm>
          <a:off x="4257675" y="142894050"/>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507" name="Text Box 3">
          <a:extLst>
            <a:ext uri="{FF2B5EF4-FFF2-40B4-BE49-F238E27FC236}">
              <a16:creationId xmlns:a16="http://schemas.microsoft.com/office/drawing/2014/main" id="{FF6D167D-7BC0-4DD9-8B48-F4BC8F2542E9}"/>
            </a:ext>
          </a:extLst>
        </xdr:cNvPr>
        <xdr:cNvSpPr txBox="1">
          <a:spLocks noChangeArrowheads="1"/>
        </xdr:cNvSpPr>
      </xdr:nvSpPr>
      <xdr:spPr bwMode="auto">
        <a:xfrm>
          <a:off x="4257675" y="142894050"/>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508" name="Text Box 3">
          <a:extLst>
            <a:ext uri="{FF2B5EF4-FFF2-40B4-BE49-F238E27FC236}">
              <a16:creationId xmlns:a16="http://schemas.microsoft.com/office/drawing/2014/main" id="{6A92861E-8927-4528-B664-110E803D521C}"/>
            </a:ext>
          </a:extLst>
        </xdr:cNvPr>
        <xdr:cNvSpPr txBox="1">
          <a:spLocks noChangeArrowheads="1"/>
        </xdr:cNvSpPr>
      </xdr:nvSpPr>
      <xdr:spPr bwMode="auto">
        <a:xfrm>
          <a:off x="4257675" y="142894050"/>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509" name="Text Box 3">
          <a:extLst>
            <a:ext uri="{FF2B5EF4-FFF2-40B4-BE49-F238E27FC236}">
              <a16:creationId xmlns:a16="http://schemas.microsoft.com/office/drawing/2014/main" id="{CA14A115-C4D1-4308-ACB5-FF7E93B6209B}"/>
            </a:ext>
          </a:extLst>
        </xdr:cNvPr>
        <xdr:cNvSpPr txBox="1">
          <a:spLocks noChangeArrowheads="1"/>
        </xdr:cNvSpPr>
      </xdr:nvSpPr>
      <xdr:spPr bwMode="auto">
        <a:xfrm>
          <a:off x="4257675" y="142894050"/>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510" name="Text Box 3">
          <a:extLst>
            <a:ext uri="{FF2B5EF4-FFF2-40B4-BE49-F238E27FC236}">
              <a16:creationId xmlns:a16="http://schemas.microsoft.com/office/drawing/2014/main" id="{88684410-A720-4FA8-8C58-3ABC7C927124}"/>
            </a:ext>
          </a:extLst>
        </xdr:cNvPr>
        <xdr:cNvSpPr txBox="1">
          <a:spLocks noChangeArrowheads="1"/>
        </xdr:cNvSpPr>
      </xdr:nvSpPr>
      <xdr:spPr bwMode="auto">
        <a:xfrm>
          <a:off x="4257675" y="142894050"/>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511" name="Text Box 3">
          <a:extLst>
            <a:ext uri="{FF2B5EF4-FFF2-40B4-BE49-F238E27FC236}">
              <a16:creationId xmlns:a16="http://schemas.microsoft.com/office/drawing/2014/main" id="{975A1B9D-9108-43CB-9149-473D82ADFF7F}"/>
            </a:ext>
          </a:extLst>
        </xdr:cNvPr>
        <xdr:cNvSpPr txBox="1">
          <a:spLocks noChangeArrowheads="1"/>
        </xdr:cNvSpPr>
      </xdr:nvSpPr>
      <xdr:spPr bwMode="auto">
        <a:xfrm>
          <a:off x="4257675" y="142894050"/>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512" name="Text Box 3">
          <a:extLst>
            <a:ext uri="{FF2B5EF4-FFF2-40B4-BE49-F238E27FC236}">
              <a16:creationId xmlns:a16="http://schemas.microsoft.com/office/drawing/2014/main" id="{8E6CD114-EB13-432F-9C1E-F1B6DC81139C}"/>
            </a:ext>
          </a:extLst>
        </xdr:cNvPr>
        <xdr:cNvSpPr txBox="1">
          <a:spLocks noChangeArrowheads="1"/>
        </xdr:cNvSpPr>
      </xdr:nvSpPr>
      <xdr:spPr bwMode="auto">
        <a:xfrm>
          <a:off x="4257675" y="142894050"/>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513" name="Text Box 3">
          <a:extLst>
            <a:ext uri="{FF2B5EF4-FFF2-40B4-BE49-F238E27FC236}">
              <a16:creationId xmlns:a16="http://schemas.microsoft.com/office/drawing/2014/main" id="{770FE1A9-3319-421F-90F8-1A579FAE1F1F}"/>
            </a:ext>
          </a:extLst>
        </xdr:cNvPr>
        <xdr:cNvSpPr txBox="1">
          <a:spLocks noChangeArrowheads="1"/>
        </xdr:cNvSpPr>
      </xdr:nvSpPr>
      <xdr:spPr bwMode="auto">
        <a:xfrm>
          <a:off x="4257675" y="142894050"/>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514" name="Text Box 3">
          <a:extLst>
            <a:ext uri="{FF2B5EF4-FFF2-40B4-BE49-F238E27FC236}">
              <a16:creationId xmlns:a16="http://schemas.microsoft.com/office/drawing/2014/main" id="{7AEBEC8D-379A-41C2-A98C-74208E6ABF4A}"/>
            </a:ext>
          </a:extLst>
        </xdr:cNvPr>
        <xdr:cNvSpPr txBox="1">
          <a:spLocks noChangeArrowheads="1"/>
        </xdr:cNvSpPr>
      </xdr:nvSpPr>
      <xdr:spPr bwMode="auto">
        <a:xfrm>
          <a:off x="4257675" y="142894050"/>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515" name="Text Box 3">
          <a:extLst>
            <a:ext uri="{FF2B5EF4-FFF2-40B4-BE49-F238E27FC236}">
              <a16:creationId xmlns:a16="http://schemas.microsoft.com/office/drawing/2014/main" id="{CC518730-6F8E-45EA-9FF1-1762BC1D48E1}"/>
            </a:ext>
          </a:extLst>
        </xdr:cNvPr>
        <xdr:cNvSpPr txBox="1">
          <a:spLocks noChangeArrowheads="1"/>
        </xdr:cNvSpPr>
      </xdr:nvSpPr>
      <xdr:spPr bwMode="auto">
        <a:xfrm>
          <a:off x="4257675" y="142894050"/>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516" name="Text Box 3">
          <a:extLst>
            <a:ext uri="{FF2B5EF4-FFF2-40B4-BE49-F238E27FC236}">
              <a16:creationId xmlns:a16="http://schemas.microsoft.com/office/drawing/2014/main" id="{8BE48420-9A22-443D-A68B-6FA68118FEEC}"/>
            </a:ext>
          </a:extLst>
        </xdr:cNvPr>
        <xdr:cNvSpPr txBox="1">
          <a:spLocks noChangeArrowheads="1"/>
        </xdr:cNvSpPr>
      </xdr:nvSpPr>
      <xdr:spPr bwMode="auto">
        <a:xfrm>
          <a:off x="4257675" y="142894050"/>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517" name="Text Box 3">
          <a:extLst>
            <a:ext uri="{FF2B5EF4-FFF2-40B4-BE49-F238E27FC236}">
              <a16:creationId xmlns:a16="http://schemas.microsoft.com/office/drawing/2014/main" id="{C7185B04-5FFD-41B4-A598-FC332E8F6B2D}"/>
            </a:ext>
          </a:extLst>
        </xdr:cNvPr>
        <xdr:cNvSpPr txBox="1">
          <a:spLocks noChangeArrowheads="1"/>
        </xdr:cNvSpPr>
      </xdr:nvSpPr>
      <xdr:spPr bwMode="auto">
        <a:xfrm>
          <a:off x="4257675" y="142894050"/>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518" name="Text Box 3">
          <a:extLst>
            <a:ext uri="{FF2B5EF4-FFF2-40B4-BE49-F238E27FC236}">
              <a16:creationId xmlns:a16="http://schemas.microsoft.com/office/drawing/2014/main" id="{E327E3E0-9085-4CE4-BA0D-A27623C04000}"/>
            </a:ext>
          </a:extLst>
        </xdr:cNvPr>
        <xdr:cNvSpPr txBox="1">
          <a:spLocks noChangeArrowheads="1"/>
        </xdr:cNvSpPr>
      </xdr:nvSpPr>
      <xdr:spPr bwMode="auto">
        <a:xfrm>
          <a:off x="4257675" y="142894050"/>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519" name="Text Box 3">
          <a:extLst>
            <a:ext uri="{FF2B5EF4-FFF2-40B4-BE49-F238E27FC236}">
              <a16:creationId xmlns:a16="http://schemas.microsoft.com/office/drawing/2014/main" id="{980D235C-CF87-4E58-B1FE-56DBE66242CA}"/>
            </a:ext>
          </a:extLst>
        </xdr:cNvPr>
        <xdr:cNvSpPr txBox="1">
          <a:spLocks noChangeArrowheads="1"/>
        </xdr:cNvSpPr>
      </xdr:nvSpPr>
      <xdr:spPr bwMode="auto">
        <a:xfrm>
          <a:off x="4257675" y="142894050"/>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520" name="Text Box 3">
          <a:extLst>
            <a:ext uri="{FF2B5EF4-FFF2-40B4-BE49-F238E27FC236}">
              <a16:creationId xmlns:a16="http://schemas.microsoft.com/office/drawing/2014/main" id="{973A2AA9-F298-4AB8-9FA8-01F6A7A6135F}"/>
            </a:ext>
          </a:extLst>
        </xdr:cNvPr>
        <xdr:cNvSpPr txBox="1">
          <a:spLocks noChangeArrowheads="1"/>
        </xdr:cNvSpPr>
      </xdr:nvSpPr>
      <xdr:spPr bwMode="auto">
        <a:xfrm>
          <a:off x="4257675" y="142894050"/>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521" name="Text Box 3">
          <a:extLst>
            <a:ext uri="{FF2B5EF4-FFF2-40B4-BE49-F238E27FC236}">
              <a16:creationId xmlns:a16="http://schemas.microsoft.com/office/drawing/2014/main" id="{09ED737F-1E5C-4B38-8F58-EF0A139EA469}"/>
            </a:ext>
          </a:extLst>
        </xdr:cNvPr>
        <xdr:cNvSpPr txBox="1">
          <a:spLocks noChangeArrowheads="1"/>
        </xdr:cNvSpPr>
      </xdr:nvSpPr>
      <xdr:spPr bwMode="auto">
        <a:xfrm>
          <a:off x="4257675" y="142894050"/>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522" name="Text Box 3">
          <a:extLst>
            <a:ext uri="{FF2B5EF4-FFF2-40B4-BE49-F238E27FC236}">
              <a16:creationId xmlns:a16="http://schemas.microsoft.com/office/drawing/2014/main" id="{CC5F2513-49B9-411B-8C64-DB866CD988D9}"/>
            </a:ext>
          </a:extLst>
        </xdr:cNvPr>
        <xdr:cNvSpPr txBox="1">
          <a:spLocks noChangeArrowheads="1"/>
        </xdr:cNvSpPr>
      </xdr:nvSpPr>
      <xdr:spPr bwMode="auto">
        <a:xfrm>
          <a:off x="4257675" y="142894050"/>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523" name="Text Box 3">
          <a:extLst>
            <a:ext uri="{FF2B5EF4-FFF2-40B4-BE49-F238E27FC236}">
              <a16:creationId xmlns:a16="http://schemas.microsoft.com/office/drawing/2014/main" id="{6C5E7BAE-6B87-45CC-8806-F32C8D532E8C}"/>
            </a:ext>
          </a:extLst>
        </xdr:cNvPr>
        <xdr:cNvSpPr txBox="1">
          <a:spLocks noChangeArrowheads="1"/>
        </xdr:cNvSpPr>
      </xdr:nvSpPr>
      <xdr:spPr bwMode="auto">
        <a:xfrm>
          <a:off x="4257675" y="142894050"/>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524" name="Text Box 3">
          <a:extLst>
            <a:ext uri="{FF2B5EF4-FFF2-40B4-BE49-F238E27FC236}">
              <a16:creationId xmlns:a16="http://schemas.microsoft.com/office/drawing/2014/main" id="{280160C2-6CD1-4356-BFF0-64A95DEF4793}"/>
            </a:ext>
          </a:extLst>
        </xdr:cNvPr>
        <xdr:cNvSpPr txBox="1">
          <a:spLocks noChangeArrowheads="1"/>
        </xdr:cNvSpPr>
      </xdr:nvSpPr>
      <xdr:spPr bwMode="auto">
        <a:xfrm>
          <a:off x="4257675" y="142894050"/>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525" name="Text Box 3">
          <a:extLst>
            <a:ext uri="{FF2B5EF4-FFF2-40B4-BE49-F238E27FC236}">
              <a16:creationId xmlns:a16="http://schemas.microsoft.com/office/drawing/2014/main" id="{81BE7148-D905-4E5C-854C-E4B7CC10C646}"/>
            </a:ext>
          </a:extLst>
        </xdr:cNvPr>
        <xdr:cNvSpPr txBox="1">
          <a:spLocks noChangeArrowheads="1"/>
        </xdr:cNvSpPr>
      </xdr:nvSpPr>
      <xdr:spPr bwMode="auto">
        <a:xfrm>
          <a:off x="4257675" y="142894050"/>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526" name="Text Box 3">
          <a:extLst>
            <a:ext uri="{FF2B5EF4-FFF2-40B4-BE49-F238E27FC236}">
              <a16:creationId xmlns:a16="http://schemas.microsoft.com/office/drawing/2014/main" id="{9855B215-BDEB-401E-9A3F-6D1CD8D91589}"/>
            </a:ext>
          </a:extLst>
        </xdr:cNvPr>
        <xdr:cNvSpPr txBox="1">
          <a:spLocks noChangeArrowheads="1"/>
        </xdr:cNvSpPr>
      </xdr:nvSpPr>
      <xdr:spPr bwMode="auto">
        <a:xfrm>
          <a:off x="4257675" y="142894050"/>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527" name="Text Box 3">
          <a:extLst>
            <a:ext uri="{FF2B5EF4-FFF2-40B4-BE49-F238E27FC236}">
              <a16:creationId xmlns:a16="http://schemas.microsoft.com/office/drawing/2014/main" id="{EEF9987E-7C28-4CEB-92D2-E328139178C6}"/>
            </a:ext>
          </a:extLst>
        </xdr:cNvPr>
        <xdr:cNvSpPr txBox="1">
          <a:spLocks noChangeArrowheads="1"/>
        </xdr:cNvSpPr>
      </xdr:nvSpPr>
      <xdr:spPr bwMode="auto">
        <a:xfrm>
          <a:off x="4257675" y="142894050"/>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528" name="Text Box 3">
          <a:extLst>
            <a:ext uri="{FF2B5EF4-FFF2-40B4-BE49-F238E27FC236}">
              <a16:creationId xmlns:a16="http://schemas.microsoft.com/office/drawing/2014/main" id="{B940291D-7C04-4B69-BC4D-89D359965E95}"/>
            </a:ext>
          </a:extLst>
        </xdr:cNvPr>
        <xdr:cNvSpPr txBox="1">
          <a:spLocks noChangeArrowheads="1"/>
        </xdr:cNvSpPr>
      </xdr:nvSpPr>
      <xdr:spPr bwMode="auto">
        <a:xfrm>
          <a:off x="4257675" y="142894050"/>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529" name="Text Box 3">
          <a:extLst>
            <a:ext uri="{FF2B5EF4-FFF2-40B4-BE49-F238E27FC236}">
              <a16:creationId xmlns:a16="http://schemas.microsoft.com/office/drawing/2014/main" id="{760FC37C-6CB5-4C56-A65F-58100624EBE4}"/>
            </a:ext>
          </a:extLst>
        </xdr:cNvPr>
        <xdr:cNvSpPr txBox="1">
          <a:spLocks noChangeArrowheads="1"/>
        </xdr:cNvSpPr>
      </xdr:nvSpPr>
      <xdr:spPr bwMode="auto">
        <a:xfrm>
          <a:off x="4257675" y="142894050"/>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530" name="Text Box 3">
          <a:extLst>
            <a:ext uri="{FF2B5EF4-FFF2-40B4-BE49-F238E27FC236}">
              <a16:creationId xmlns:a16="http://schemas.microsoft.com/office/drawing/2014/main" id="{3A5CAA51-4719-4E5D-9B03-D1815C9F0522}"/>
            </a:ext>
          </a:extLst>
        </xdr:cNvPr>
        <xdr:cNvSpPr txBox="1">
          <a:spLocks noChangeArrowheads="1"/>
        </xdr:cNvSpPr>
      </xdr:nvSpPr>
      <xdr:spPr bwMode="auto">
        <a:xfrm>
          <a:off x="4257675" y="142894050"/>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531" name="Text Box 3">
          <a:extLst>
            <a:ext uri="{FF2B5EF4-FFF2-40B4-BE49-F238E27FC236}">
              <a16:creationId xmlns:a16="http://schemas.microsoft.com/office/drawing/2014/main" id="{312E8C72-609B-45FD-A7F2-A8772D256D6B}"/>
            </a:ext>
          </a:extLst>
        </xdr:cNvPr>
        <xdr:cNvSpPr txBox="1">
          <a:spLocks noChangeArrowheads="1"/>
        </xdr:cNvSpPr>
      </xdr:nvSpPr>
      <xdr:spPr bwMode="auto">
        <a:xfrm>
          <a:off x="4257675" y="142894050"/>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532" name="Text Box 3">
          <a:extLst>
            <a:ext uri="{FF2B5EF4-FFF2-40B4-BE49-F238E27FC236}">
              <a16:creationId xmlns:a16="http://schemas.microsoft.com/office/drawing/2014/main" id="{C7BA9A10-4107-432D-AA4C-CB5FF66F5081}"/>
            </a:ext>
          </a:extLst>
        </xdr:cNvPr>
        <xdr:cNvSpPr txBox="1">
          <a:spLocks noChangeArrowheads="1"/>
        </xdr:cNvSpPr>
      </xdr:nvSpPr>
      <xdr:spPr bwMode="auto">
        <a:xfrm>
          <a:off x="4257675" y="142894050"/>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533" name="Text Box 3">
          <a:extLst>
            <a:ext uri="{FF2B5EF4-FFF2-40B4-BE49-F238E27FC236}">
              <a16:creationId xmlns:a16="http://schemas.microsoft.com/office/drawing/2014/main" id="{8913E2A2-A134-4EFB-B96F-3E6DAED20BBC}"/>
            </a:ext>
          </a:extLst>
        </xdr:cNvPr>
        <xdr:cNvSpPr txBox="1">
          <a:spLocks noChangeArrowheads="1"/>
        </xdr:cNvSpPr>
      </xdr:nvSpPr>
      <xdr:spPr bwMode="auto">
        <a:xfrm>
          <a:off x="4257675" y="142894050"/>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534" name="Text Box 3">
          <a:extLst>
            <a:ext uri="{FF2B5EF4-FFF2-40B4-BE49-F238E27FC236}">
              <a16:creationId xmlns:a16="http://schemas.microsoft.com/office/drawing/2014/main" id="{7A0E60A7-A186-4383-A5A3-F1BEC95B701F}"/>
            </a:ext>
          </a:extLst>
        </xdr:cNvPr>
        <xdr:cNvSpPr txBox="1">
          <a:spLocks noChangeArrowheads="1"/>
        </xdr:cNvSpPr>
      </xdr:nvSpPr>
      <xdr:spPr bwMode="auto">
        <a:xfrm>
          <a:off x="4257675" y="142894050"/>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535" name="Text Box 3">
          <a:extLst>
            <a:ext uri="{FF2B5EF4-FFF2-40B4-BE49-F238E27FC236}">
              <a16:creationId xmlns:a16="http://schemas.microsoft.com/office/drawing/2014/main" id="{8158D104-01E1-4425-913B-24487DDEED31}"/>
            </a:ext>
          </a:extLst>
        </xdr:cNvPr>
        <xdr:cNvSpPr txBox="1">
          <a:spLocks noChangeArrowheads="1"/>
        </xdr:cNvSpPr>
      </xdr:nvSpPr>
      <xdr:spPr bwMode="auto">
        <a:xfrm>
          <a:off x="4257675" y="142894050"/>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536" name="Text Box 3">
          <a:extLst>
            <a:ext uri="{FF2B5EF4-FFF2-40B4-BE49-F238E27FC236}">
              <a16:creationId xmlns:a16="http://schemas.microsoft.com/office/drawing/2014/main" id="{94AA8F22-CA4B-4D35-94DE-6BD8B70ED423}"/>
            </a:ext>
          </a:extLst>
        </xdr:cNvPr>
        <xdr:cNvSpPr txBox="1">
          <a:spLocks noChangeArrowheads="1"/>
        </xdr:cNvSpPr>
      </xdr:nvSpPr>
      <xdr:spPr bwMode="auto">
        <a:xfrm>
          <a:off x="4257675" y="142894050"/>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537" name="Text Box 3">
          <a:extLst>
            <a:ext uri="{FF2B5EF4-FFF2-40B4-BE49-F238E27FC236}">
              <a16:creationId xmlns:a16="http://schemas.microsoft.com/office/drawing/2014/main" id="{50897D8E-50AA-43DF-A6B4-C83B2311DEAB}"/>
            </a:ext>
          </a:extLst>
        </xdr:cNvPr>
        <xdr:cNvSpPr txBox="1">
          <a:spLocks noChangeArrowheads="1"/>
        </xdr:cNvSpPr>
      </xdr:nvSpPr>
      <xdr:spPr bwMode="auto">
        <a:xfrm>
          <a:off x="4257675" y="142894050"/>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538" name="Text Box 3">
          <a:extLst>
            <a:ext uri="{FF2B5EF4-FFF2-40B4-BE49-F238E27FC236}">
              <a16:creationId xmlns:a16="http://schemas.microsoft.com/office/drawing/2014/main" id="{FB91DE26-3318-48D4-B07B-2A8B641C3B61}"/>
            </a:ext>
          </a:extLst>
        </xdr:cNvPr>
        <xdr:cNvSpPr txBox="1">
          <a:spLocks noChangeArrowheads="1"/>
        </xdr:cNvSpPr>
      </xdr:nvSpPr>
      <xdr:spPr bwMode="auto">
        <a:xfrm>
          <a:off x="4257675" y="142894050"/>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539" name="Text Box 3">
          <a:extLst>
            <a:ext uri="{FF2B5EF4-FFF2-40B4-BE49-F238E27FC236}">
              <a16:creationId xmlns:a16="http://schemas.microsoft.com/office/drawing/2014/main" id="{66F8B4AA-F3F7-4DB7-9C1C-EBAF71C99A07}"/>
            </a:ext>
          </a:extLst>
        </xdr:cNvPr>
        <xdr:cNvSpPr txBox="1">
          <a:spLocks noChangeArrowheads="1"/>
        </xdr:cNvSpPr>
      </xdr:nvSpPr>
      <xdr:spPr bwMode="auto">
        <a:xfrm>
          <a:off x="4257675" y="142894050"/>
          <a:ext cx="76200" cy="200025"/>
        </a:xfrm>
        <a:prstGeom prst="rect">
          <a:avLst/>
        </a:prstGeom>
        <a:noFill/>
        <a:ln w="9525">
          <a:noFill/>
          <a:miter lim="800000"/>
          <a:headEnd/>
          <a:tailEnd/>
        </a:ln>
      </xdr:spPr>
    </xdr:sp>
    <xdr:clientData/>
  </xdr:oneCellAnchor>
  <xdr:oneCellAnchor>
    <xdr:from>
      <xdr:col>6</xdr:col>
      <xdr:colOff>590550</xdr:colOff>
      <xdr:row>868</xdr:row>
      <xdr:rowOff>0</xdr:rowOff>
    </xdr:from>
    <xdr:ext cx="76200" cy="200025"/>
    <xdr:sp macro="" textlink="">
      <xdr:nvSpPr>
        <xdr:cNvPr id="540" name="Text Box 3">
          <a:extLst>
            <a:ext uri="{FF2B5EF4-FFF2-40B4-BE49-F238E27FC236}">
              <a16:creationId xmlns:a16="http://schemas.microsoft.com/office/drawing/2014/main" id="{223CE261-EC69-46D3-9CC7-96B987FCE77B}"/>
            </a:ext>
          </a:extLst>
        </xdr:cNvPr>
        <xdr:cNvSpPr txBox="1">
          <a:spLocks noChangeArrowheads="1"/>
        </xdr:cNvSpPr>
      </xdr:nvSpPr>
      <xdr:spPr bwMode="auto">
        <a:xfrm>
          <a:off x="4257675" y="143256000"/>
          <a:ext cx="76200" cy="200025"/>
        </a:xfrm>
        <a:prstGeom prst="rect">
          <a:avLst/>
        </a:prstGeom>
        <a:noFill/>
        <a:ln w="9525">
          <a:noFill/>
          <a:miter lim="800000"/>
          <a:headEnd/>
          <a:tailEnd/>
        </a:ln>
      </xdr:spPr>
    </xdr:sp>
    <xdr:clientData/>
  </xdr:oneCellAnchor>
  <xdr:oneCellAnchor>
    <xdr:from>
      <xdr:col>0</xdr:col>
      <xdr:colOff>0</xdr:colOff>
      <xdr:row>868</xdr:row>
      <xdr:rowOff>0</xdr:rowOff>
    </xdr:from>
    <xdr:ext cx="28575" cy="104775"/>
    <xdr:sp macro="" textlink="">
      <xdr:nvSpPr>
        <xdr:cNvPr id="541" name="Text Box 4">
          <a:extLst>
            <a:ext uri="{FF2B5EF4-FFF2-40B4-BE49-F238E27FC236}">
              <a16:creationId xmlns:a16="http://schemas.microsoft.com/office/drawing/2014/main" id="{D9E0F563-729C-47FC-8E28-F52169C54BF6}"/>
            </a:ext>
          </a:extLst>
        </xdr:cNvPr>
        <xdr:cNvSpPr txBox="1">
          <a:spLocks noChangeArrowheads="1"/>
        </xdr:cNvSpPr>
      </xdr:nvSpPr>
      <xdr:spPr bwMode="auto">
        <a:xfrm>
          <a:off x="0" y="143256000"/>
          <a:ext cx="28575" cy="104775"/>
        </a:xfrm>
        <a:prstGeom prst="rect">
          <a:avLst/>
        </a:prstGeom>
        <a:noFill/>
        <a:ln w="9525">
          <a:noFill/>
          <a:miter lim="800000"/>
          <a:headEnd/>
          <a:tailEnd/>
        </a:ln>
      </xdr:spPr>
    </xdr:sp>
    <xdr:clientData/>
  </xdr:oneCellAnchor>
  <xdr:oneCellAnchor>
    <xdr:from>
      <xdr:col>6</xdr:col>
      <xdr:colOff>590550</xdr:colOff>
      <xdr:row>867</xdr:row>
      <xdr:rowOff>0</xdr:rowOff>
    </xdr:from>
    <xdr:ext cx="76200" cy="196850"/>
    <xdr:sp macro="" textlink="">
      <xdr:nvSpPr>
        <xdr:cNvPr id="542" name="Text Box 3">
          <a:extLst>
            <a:ext uri="{FF2B5EF4-FFF2-40B4-BE49-F238E27FC236}">
              <a16:creationId xmlns:a16="http://schemas.microsoft.com/office/drawing/2014/main" id="{AD4C2EF3-1AAB-474B-AC9D-CA2DB25B9406}"/>
            </a:ext>
          </a:extLst>
        </xdr:cNvPr>
        <xdr:cNvSpPr txBox="1">
          <a:spLocks noChangeArrowheads="1"/>
        </xdr:cNvSpPr>
      </xdr:nvSpPr>
      <xdr:spPr bwMode="auto">
        <a:xfrm>
          <a:off x="4257675" y="143055975"/>
          <a:ext cx="76200" cy="196850"/>
        </a:xfrm>
        <a:prstGeom prst="rect">
          <a:avLst/>
        </a:prstGeom>
        <a:noFill/>
        <a:ln w="9525">
          <a:noFill/>
          <a:miter lim="800000"/>
          <a:headEnd/>
          <a:tailEnd/>
        </a:ln>
      </xdr:spPr>
    </xdr:sp>
    <xdr:clientData/>
  </xdr:oneCellAnchor>
  <xdr:oneCellAnchor>
    <xdr:from>
      <xdr:col>0</xdr:col>
      <xdr:colOff>0</xdr:colOff>
      <xdr:row>867</xdr:row>
      <xdr:rowOff>0</xdr:rowOff>
    </xdr:from>
    <xdr:ext cx="28575" cy="104775"/>
    <xdr:sp macro="" textlink="">
      <xdr:nvSpPr>
        <xdr:cNvPr id="543" name="Text Box 4">
          <a:extLst>
            <a:ext uri="{FF2B5EF4-FFF2-40B4-BE49-F238E27FC236}">
              <a16:creationId xmlns:a16="http://schemas.microsoft.com/office/drawing/2014/main" id="{25E128B0-2805-40E6-8CCA-021ABB0C0234}"/>
            </a:ext>
          </a:extLst>
        </xdr:cNvPr>
        <xdr:cNvSpPr txBox="1">
          <a:spLocks noChangeArrowheads="1"/>
        </xdr:cNvSpPr>
      </xdr:nvSpPr>
      <xdr:spPr bwMode="auto">
        <a:xfrm>
          <a:off x="0" y="143055975"/>
          <a:ext cx="28575" cy="10477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544" name="Text Box 3">
          <a:extLst>
            <a:ext uri="{FF2B5EF4-FFF2-40B4-BE49-F238E27FC236}">
              <a16:creationId xmlns:a16="http://schemas.microsoft.com/office/drawing/2014/main" id="{BFACFEC2-29AD-419A-A724-6F11E2BFE307}"/>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545" name="Text Box 3">
          <a:extLst>
            <a:ext uri="{FF2B5EF4-FFF2-40B4-BE49-F238E27FC236}">
              <a16:creationId xmlns:a16="http://schemas.microsoft.com/office/drawing/2014/main" id="{00DD95CB-96DC-410A-93CE-A629400B5F84}"/>
            </a:ext>
          </a:extLst>
        </xdr:cNvPr>
        <xdr:cNvSpPr txBox="1">
          <a:spLocks noChangeArrowheads="1"/>
        </xdr:cNvSpPr>
      </xdr:nvSpPr>
      <xdr:spPr bwMode="auto">
        <a:xfrm>
          <a:off x="4257675" y="152466675"/>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546" name="Text Box 3">
          <a:extLst>
            <a:ext uri="{FF2B5EF4-FFF2-40B4-BE49-F238E27FC236}">
              <a16:creationId xmlns:a16="http://schemas.microsoft.com/office/drawing/2014/main" id="{B3497F13-EFFF-4A55-8796-B88C49FF332E}"/>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547" name="Text Box 3">
          <a:extLst>
            <a:ext uri="{FF2B5EF4-FFF2-40B4-BE49-F238E27FC236}">
              <a16:creationId xmlns:a16="http://schemas.microsoft.com/office/drawing/2014/main" id="{FA188C63-BC50-4BBE-8CF0-AAD443BC135E}"/>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548" name="Text Box 3">
          <a:extLst>
            <a:ext uri="{FF2B5EF4-FFF2-40B4-BE49-F238E27FC236}">
              <a16:creationId xmlns:a16="http://schemas.microsoft.com/office/drawing/2014/main" id="{3B3CA503-9D95-41DC-B254-0083DCD2DEDE}"/>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549" name="Text Box 3">
          <a:extLst>
            <a:ext uri="{FF2B5EF4-FFF2-40B4-BE49-F238E27FC236}">
              <a16:creationId xmlns:a16="http://schemas.microsoft.com/office/drawing/2014/main" id="{1190D011-5030-4381-9131-51623B701733}"/>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550" name="Text Box 3">
          <a:extLst>
            <a:ext uri="{FF2B5EF4-FFF2-40B4-BE49-F238E27FC236}">
              <a16:creationId xmlns:a16="http://schemas.microsoft.com/office/drawing/2014/main" id="{0987CBC0-190B-4370-96E2-CF2E9F8D211F}"/>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551" name="Text Box 3">
          <a:extLst>
            <a:ext uri="{FF2B5EF4-FFF2-40B4-BE49-F238E27FC236}">
              <a16:creationId xmlns:a16="http://schemas.microsoft.com/office/drawing/2014/main" id="{D757BB04-0CD4-4017-A174-F3C53DBDFCB5}"/>
            </a:ext>
          </a:extLst>
        </xdr:cNvPr>
        <xdr:cNvSpPr txBox="1">
          <a:spLocks noChangeArrowheads="1"/>
        </xdr:cNvSpPr>
      </xdr:nvSpPr>
      <xdr:spPr bwMode="auto">
        <a:xfrm>
          <a:off x="4257675" y="152466675"/>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552" name="Text Box 3">
          <a:extLst>
            <a:ext uri="{FF2B5EF4-FFF2-40B4-BE49-F238E27FC236}">
              <a16:creationId xmlns:a16="http://schemas.microsoft.com/office/drawing/2014/main" id="{6ACDCCE4-083A-446A-B41A-72FFF9D7F7B8}"/>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553" name="Text Box 3">
          <a:extLst>
            <a:ext uri="{FF2B5EF4-FFF2-40B4-BE49-F238E27FC236}">
              <a16:creationId xmlns:a16="http://schemas.microsoft.com/office/drawing/2014/main" id="{BE895BF6-6EF3-4ED0-A0A0-A25B8F652BC3}"/>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554" name="Text Box 3">
          <a:extLst>
            <a:ext uri="{FF2B5EF4-FFF2-40B4-BE49-F238E27FC236}">
              <a16:creationId xmlns:a16="http://schemas.microsoft.com/office/drawing/2014/main" id="{86DA42E7-0CFF-4CD8-97D4-76CB3ABBEC26}"/>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555" name="Text Box 3">
          <a:extLst>
            <a:ext uri="{FF2B5EF4-FFF2-40B4-BE49-F238E27FC236}">
              <a16:creationId xmlns:a16="http://schemas.microsoft.com/office/drawing/2014/main" id="{671AB69A-C4B9-4DED-8C4D-78F29004A01A}"/>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556" name="Text Box 3">
          <a:extLst>
            <a:ext uri="{FF2B5EF4-FFF2-40B4-BE49-F238E27FC236}">
              <a16:creationId xmlns:a16="http://schemas.microsoft.com/office/drawing/2014/main" id="{BDFBDEA7-C0BA-4C64-96D8-56ECC9C4FE8B}"/>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557" name="Text Box 3">
          <a:extLst>
            <a:ext uri="{FF2B5EF4-FFF2-40B4-BE49-F238E27FC236}">
              <a16:creationId xmlns:a16="http://schemas.microsoft.com/office/drawing/2014/main" id="{7CA77232-C778-4132-8F10-4D1DE9834872}"/>
            </a:ext>
          </a:extLst>
        </xdr:cNvPr>
        <xdr:cNvSpPr txBox="1">
          <a:spLocks noChangeArrowheads="1"/>
        </xdr:cNvSpPr>
      </xdr:nvSpPr>
      <xdr:spPr bwMode="auto">
        <a:xfrm>
          <a:off x="4257675" y="152466675"/>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558" name="Text Box 3">
          <a:extLst>
            <a:ext uri="{FF2B5EF4-FFF2-40B4-BE49-F238E27FC236}">
              <a16:creationId xmlns:a16="http://schemas.microsoft.com/office/drawing/2014/main" id="{C0B4C471-8C0A-443A-A3D4-C6B071CB1A6E}"/>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559" name="Text Box 3">
          <a:extLst>
            <a:ext uri="{FF2B5EF4-FFF2-40B4-BE49-F238E27FC236}">
              <a16:creationId xmlns:a16="http://schemas.microsoft.com/office/drawing/2014/main" id="{BACF102B-277A-422B-A9E4-A14D0CFEDF18}"/>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560" name="Text Box 3">
          <a:extLst>
            <a:ext uri="{FF2B5EF4-FFF2-40B4-BE49-F238E27FC236}">
              <a16:creationId xmlns:a16="http://schemas.microsoft.com/office/drawing/2014/main" id="{B8F1B9A2-2D38-48DC-9094-BAB8D5E838E2}"/>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561" name="Text Box 3">
          <a:extLst>
            <a:ext uri="{FF2B5EF4-FFF2-40B4-BE49-F238E27FC236}">
              <a16:creationId xmlns:a16="http://schemas.microsoft.com/office/drawing/2014/main" id="{508FFA5C-86F9-4F2F-9892-54DE2312B2D3}"/>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562" name="Text Box 3">
          <a:extLst>
            <a:ext uri="{FF2B5EF4-FFF2-40B4-BE49-F238E27FC236}">
              <a16:creationId xmlns:a16="http://schemas.microsoft.com/office/drawing/2014/main" id="{40572369-0410-407E-AC02-F9DE1C593C1E}"/>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563" name="Text Box 3">
          <a:extLst>
            <a:ext uri="{FF2B5EF4-FFF2-40B4-BE49-F238E27FC236}">
              <a16:creationId xmlns:a16="http://schemas.microsoft.com/office/drawing/2014/main" id="{5B72CE30-3C3E-4AA6-AA1E-0E1BD9F72DEF}"/>
            </a:ext>
          </a:extLst>
        </xdr:cNvPr>
        <xdr:cNvSpPr txBox="1">
          <a:spLocks noChangeArrowheads="1"/>
        </xdr:cNvSpPr>
      </xdr:nvSpPr>
      <xdr:spPr bwMode="auto">
        <a:xfrm>
          <a:off x="4257675" y="152466675"/>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564" name="Text Box 3">
          <a:extLst>
            <a:ext uri="{FF2B5EF4-FFF2-40B4-BE49-F238E27FC236}">
              <a16:creationId xmlns:a16="http://schemas.microsoft.com/office/drawing/2014/main" id="{B5E10BF8-53F0-4AE5-A4A6-519F47F0D2E2}"/>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565" name="Text Box 3">
          <a:extLst>
            <a:ext uri="{FF2B5EF4-FFF2-40B4-BE49-F238E27FC236}">
              <a16:creationId xmlns:a16="http://schemas.microsoft.com/office/drawing/2014/main" id="{A9EBD9E9-43FA-4F68-80A2-DD4E2AA07B57}"/>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566" name="Text Box 3">
          <a:extLst>
            <a:ext uri="{FF2B5EF4-FFF2-40B4-BE49-F238E27FC236}">
              <a16:creationId xmlns:a16="http://schemas.microsoft.com/office/drawing/2014/main" id="{99B47F50-CE48-401A-98A3-DAD5D3FF1E26}"/>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567" name="Text Box 3">
          <a:extLst>
            <a:ext uri="{FF2B5EF4-FFF2-40B4-BE49-F238E27FC236}">
              <a16:creationId xmlns:a16="http://schemas.microsoft.com/office/drawing/2014/main" id="{D74CFA1E-17B6-4C59-8D41-F7F21FB1DAC7}"/>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568" name="Text Box 3">
          <a:extLst>
            <a:ext uri="{FF2B5EF4-FFF2-40B4-BE49-F238E27FC236}">
              <a16:creationId xmlns:a16="http://schemas.microsoft.com/office/drawing/2014/main" id="{079134CF-DD73-4FD8-B965-6D531ED55F82}"/>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569" name="Text Box 3">
          <a:extLst>
            <a:ext uri="{FF2B5EF4-FFF2-40B4-BE49-F238E27FC236}">
              <a16:creationId xmlns:a16="http://schemas.microsoft.com/office/drawing/2014/main" id="{9D2FF2BF-6FD5-4871-A794-3F915AEC0C9B}"/>
            </a:ext>
          </a:extLst>
        </xdr:cNvPr>
        <xdr:cNvSpPr txBox="1">
          <a:spLocks noChangeArrowheads="1"/>
        </xdr:cNvSpPr>
      </xdr:nvSpPr>
      <xdr:spPr bwMode="auto">
        <a:xfrm>
          <a:off x="4257675" y="152466675"/>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570" name="Text Box 3">
          <a:extLst>
            <a:ext uri="{FF2B5EF4-FFF2-40B4-BE49-F238E27FC236}">
              <a16:creationId xmlns:a16="http://schemas.microsoft.com/office/drawing/2014/main" id="{30FE0761-79B6-4DD5-9E59-A2CD7641B519}"/>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571" name="Text Box 3">
          <a:extLst>
            <a:ext uri="{FF2B5EF4-FFF2-40B4-BE49-F238E27FC236}">
              <a16:creationId xmlns:a16="http://schemas.microsoft.com/office/drawing/2014/main" id="{E226ECB9-AD9C-47C2-A822-90BF5E6A0601}"/>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572" name="Text Box 3">
          <a:extLst>
            <a:ext uri="{FF2B5EF4-FFF2-40B4-BE49-F238E27FC236}">
              <a16:creationId xmlns:a16="http://schemas.microsoft.com/office/drawing/2014/main" id="{EBEF35A9-AD95-4766-B8D8-35422CDE8065}"/>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573" name="Text Box 3">
          <a:extLst>
            <a:ext uri="{FF2B5EF4-FFF2-40B4-BE49-F238E27FC236}">
              <a16:creationId xmlns:a16="http://schemas.microsoft.com/office/drawing/2014/main" id="{EDAD262F-0B16-49D7-A636-F20BF47F3500}"/>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574" name="Text Box 3">
          <a:extLst>
            <a:ext uri="{FF2B5EF4-FFF2-40B4-BE49-F238E27FC236}">
              <a16:creationId xmlns:a16="http://schemas.microsoft.com/office/drawing/2014/main" id="{88F59059-2F8C-4E89-8873-5346FA3AB11C}"/>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575" name="Text Box 3">
          <a:extLst>
            <a:ext uri="{FF2B5EF4-FFF2-40B4-BE49-F238E27FC236}">
              <a16:creationId xmlns:a16="http://schemas.microsoft.com/office/drawing/2014/main" id="{282A7A82-9925-4D06-8FE7-8E15E998E743}"/>
            </a:ext>
          </a:extLst>
        </xdr:cNvPr>
        <xdr:cNvSpPr txBox="1">
          <a:spLocks noChangeArrowheads="1"/>
        </xdr:cNvSpPr>
      </xdr:nvSpPr>
      <xdr:spPr bwMode="auto">
        <a:xfrm>
          <a:off x="4257675" y="152466675"/>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576" name="Text Box 3">
          <a:extLst>
            <a:ext uri="{FF2B5EF4-FFF2-40B4-BE49-F238E27FC236}">
              <a16:creationId xmlns:a16="http://schemas.microsoft.com/office/drawing/2014/main" id="{6945EA23-DE72-4EB0-80DF-BC38671A466F}"/>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577" name="Text Box 3">
          <a:extLst>
            <a:ext uri="{FF2B5EF4-FFF2-40B4-BE49-F238E27FC236}">
              <a16:creationId xmlns:a16="http://schemas.microsoft.com/office/drawing/2014/main" id="{2800A432-5030-410F-8A3A-6188B3DA8E16}"/>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578" name="Text Box 3">
          <a:extLst>
            <a:ext uri="{FF2B5EF4-FFF2-40B4-BE49-F238E27FC236}">
              <a16:creationId xmlns:a16="http://schemas.microsoft.com/office/drawing/2014/main" id="{1ACEBBE3-E459-4A11-B5EC-6D07B74AA0D1}"/>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579" name="Text Box 3">
          <a:extLst>
            <a:ext uri="{FF2B5EF4-FFF2-40B4-BE49-F238E27FC236}">
              <a16:creationId xmlns:a16="http://schemas.microsoft.com/office/drawing/2014/main" id="{C2DA73A6-D260-47DB-B318-337FF894E15D}"/>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580" name="Text Box 3">
          <a:extLst>
            <a:ext uri="{FF2B5EF4-FFF2-40B4-BE49-F238E27FC236}">
              <a16:creationId xmlns:a16="http://schemas.microsoft.com/office/drawing/2014/main" id="{EAA4FCF6-D4B8-4CAE-AB52-ED72869B2720}"/>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581" name="Text Box 3">
          <a:extLst>
            <a:ext uri="{FF2B5EF4-FFF2-40B4-BE49-F238E27FC236}">
              <a16:creationId xmlns:a16="http://schemas.microsoft.com/office/drawing/2014/main" id="{7EA387FE-2482-4635-A3E0-B4375160E325}"/>
            </a:ext>
          </a:extLst>
        </xdr:cNvPr>
        <xdr:cNvSpPr txBox="1">
          <a:spLocks noChangeArrowheads="1"/>
        </xdr:cNvSpPr>
      </xdr:nvSpPr>
      <xdr:spPr bwMode="auto">
        <a:xfrm>
          <a:off x="4257675" y="152466675"/>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582" name="Text Box 3">
          <a:extLst>
            <a:ext uri="{FF2B5EF4-FFF2-40B4-BE49-F238E27FC236}">
              <a16:creationId xmlns:a16="http://schemas.microsoft.com/office/drawing/2014/main" id="{A6FBCCBA-6084-46DB-BEA1-9DFA4E0D9E82}"/>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926</xdr:row>
      <xdr:rowOff>0</xdr:rowOff>
    </xdr:from>
    <xdr:ext cx="76200" cy="200025"/>
    <xdr:sp macro="" textlink="">
      <xdr:nvSpPr>
        <xdr:cNvPr id="583" name="Text Box 3">
          <a:extLst>
            <a:ext uri="{FF2B5EF4-FFF2-40B4-BE49-F238E27FC236}">
              <a16:creationId xmlns:a16="http://schemas.microsoft.com/office/drawing/2014/main" id="{093E3111-C51A-4767-9939-E262D9D57F6B}"/>
            </a:ext>
          </a:extLst>
        </xdr:cNvPr>
        <xdr:cNvSpPr txBox="1">
          <a:spLocks noChangeArrowheads="1"/>
        </xdr:cNvSpPr>
      </xdr:nvSpPr>
      <xdr:spPr bwMode="auto">
        <a:xfrm>
          <a:off x="4257675" y="152828625"/>
          <a:ext cx="76200" cy="200025"/>
        </a:xfrm>
        <a:prstGeom prst="rect">
          <a:avLst/>
        </a:prstGeom>
        <a:noFill/>
        <a:ln w="9525">
          <a:noFill/>
          <a:miter lim="800000"/>
          <a:headEnd/>
          <a:tailEnd/>
        </a:ln>
      </xdr:spPr>
    </xdr:sp>
    <xdr:clientData/>
  </xdr:oneCellAnchor>
  <xdr:oneCellAnchor>
    <xdr:from>
      <xdr:col>0</xdr:col>
      <xdr:colOff>0</xdr:colOff>
      <xdr:row>926</xdr:row>
      <xdr:rowOff>0</xdr:rowOff>
    </xdr:from>
    <xdr:ext cx="28575" cy="104775"/>
    <xdr:sp macro="" textlink="">
      <xdr:nvSpPr>
        <xdr:cNvPr id="584" name="Text Box 4">
          <a:extLst>
            <a:ext uri="{FF2B5EF4-FFF2-40B4-BE49-F238E27FC236}">
              <a16:creationId xmlns:a16="http://schemas.microsoft.com/office/drawing/2014/main" id="{9AC89507-0E3C-4EC0-8D53-BE2B8B6EB865}"/>
            </a:ext>
          </a:extLst>
        </xdr:cNvPr>
        <xdr:cNvSpPr txBox="1">
          <a:spLocks noChangeArrowheads="1"/>
        </xdr:cNvSpPr>
      </xdr:nvSpPr>
      <xdr:spPr bwMode="auto">
        <a:xfrm>
          <a:off x="0" y="152828625"/>
          <a:ext cx="28575" cy="104775"/>
        </a:xfrm>
        <a:prstGeom prst="rect">
          <a:avLst/>
        </a:prstGeom>
        <a:noFill/>
        <a:ln w="9525">
          <a:noFill/>
          <a:miter lim="800000"/>
          <a:headEnd/>
          <a:tailEnd/>
        </a:ln>
      </xdr:spPr>
    </xdr:sp>
    <xdr:clientData/>
  </xdr:oneCellAnchor>
  <xdr:oneCellAnchor>
    <xdr:from>
      <xdr:col>6</xdr:col>
      <xdr:colOff>590550</xdr:colOff>
      <xdr:row>925</xdr:row>
      <xdr:rowOff>0</xdr:rowOff>
    </xdr:from>
    <xdr:ext cx="76200" cy="196850"/>
    <xdr:sp macro="" textlink="">
      <xdr:nvSpPr>
        <xdr:cNvPr id="585" name="Text Box 3">
          <a:extLst>
            <a:ext uri="{FF2B5EF4-FFF2-40B4-BE49-F238E27FC236}">
              <a16:creationId xmlns:a16="http://schemas.microsoft.com/office/drawing/2014/main" id="{ACF7F650-8ACF-444C-BBE8-B5381D53355B}"/>
            </a:ext>
          </a:extLst>
        </xdr:cNvPr>
        <xdr:cNvSpPr txBox="1">
          <a:spLocks noChangeArrowheads="1"/>
        </xdr:cNvSpPr>
      </xdr:nvSpPr>
      <xdr:spPr bwMode="auto">
        <a:xfrm>
          <a:off x="4257675" y="152628600"/>
          <a:ext cx="76200" cy="196850"/>
        </a:xfrm>
        <a:prstGeom prst="rect">
          <a:avLst/>
        </a:prstGeom>
        <a:noFill/>
        <a:ln w="9525">
          <a:noFill/>
          <a:miter lim="800000"/>
          <a:headEnd/>
          <a:tailEnd/>
        </a:ln>
      </xdr:spPr>
    </xdr:sp>
    <xdr:clientData/>
  </xdr:oneCellAnchor>
  <xdr:oneCellAnchor>
    <xdr:from>
      <xdr:col>0</xdr:col>
      <xdr:colOff>0</xdr:colOff>
      <xdr:row>925</xdr:row>
      <xdr:rowOff>0</xdr:rowOff>
    </xdr:from>
    <xdr:ext cx="28575" cy="104775"/>
    <xdr:sp macro="" textlink="">
      <xdr:nvSpPr>
        <xdr:cNvPr id="586" name="Text Box 4">
          <a:extLst>
            <a:ext uri="{FF2B5EF4-FFF2-40B4-BE49-F238E27FC236}">
              <a16:creationId xmlns:a16="http://schemas.microsoft.com/office/drawing/2014/main" id="{24E22E6E-33DF-4030-92EA-50AABB315D33}"/>
            </a:ext>
          </a:extLst>
        </xdr:cNvPr>
        <xdr:cNvSpPr txBox="1">
          <a:spLocks noChangeArrowheads="1"/>
        </xdr:cNvSpPr>
      </xdr:nvSpPr>
      <xdr:spPr bwMode="auto">
        <a:xfrm>
          <a:off x="0" y="152628600"/>
          <a:ext cx="28575" cy="104775"/>
        </a:xfrm>
        <a:prstGeom prst="rect">
          <a:avLst/>
        </a:prstGeom>
        <a:noFill/>
        <a:ln w="9525">
          <a:noFill/>
          <a:miter lim="800000"/>
          <a:headEnd/>
          <a:tailEnd/>
        </a:ln>
      </xdr:spPr>
    </xdr:sp>
    <xdr:clientData/>
  </xdr:oneCellAnchor>
  <xdr:oneCellAnchor>
    <xdr:from>
      <xdr:col>6</xdr:col>
      <xdr:colOff>590550</xdr:colOff>
      <xdr:row>982</xdr:row>
      <xdr:rowOff>0</xdr:rowOff>
    </xdr:from>
    <xdr:ext cx="76200" cy="200025"/>
    <xdr:sp macro="" textlink="">
      <xdr:nvSpPr>
        <xdr:cNvPr id="587" name="Text Box 3">
          <a:extLst>
            <a:ext uri="{FF2B5EF4-FFF2-40B4-BE49-F238E27FC236}">
              <a16:creationId xmlns:a16="http://schemas.microsoft.com/office/drawing/2014/main" id="{28FDEADA-184C-4939-A4EE-81C1ACD78CFA}"/>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982</xdr:row>
      <xdr:rowOff>0</xdr:rowOff>
    </xdr:from>
    <xdr:ext cx="76200" cy="196850"/>
    <xdr:sp macro="" textlink="">
      <xdr:nvSpPr>
        <xdr:cNvPr id="588" name="Text Box 3">
          <a:extLst>
            <a:ext uri="{FF2B5EF4-FFF2-40B4-BE49-F238E27FC236}">
              <a16:creationId xmlns:a16="http://schemas.microsoft.com/office/drawing/2014/main" id="{E2802563-A9CC-43B2-9652-D12007A2CA32}"/>
            </a:ext>
          </a:extLst>
        </xdr:cNvPr>
        <xdr:cNvSpPr txBox="1">
          <a:spLocks noChangeArrowheads="1"/>
        </xdr:cNvSpPr>
      </xdr:nvSpPr>
      <xdr:spPr bwMode="auto">
        <a:xfrm>
          <a:off x="4257675" y="152466675"/>
          <a:ext cx="76200" cy="196850"/>
        </a:xfrm>
        <a:prstGeom prst="rect">
          <a:avLst/>
        </a:prstGeom>
        <a:noFill/>
        <a:ln w="9525">
          <a:noFill/>
          <a:miter lim="800000"/>
          <a:headEnd/>
          <a:tailEnd/>
        </a:ln>
      </xdr:spPr>
    </xdr:sp>
    <xdr:clientData/>
  </xdr:oneCellAnchor>
  <xdr:oneCellAnchor>
    <xdr:from>
      <xdr:col>6</xdr:col>
      <xdr:colOff>590550</xdr:colOff>
      <xdr:row>982</xdr:row>
      <xdr:rowOff>0</xdr:rowOff>
    </xdr:from>
    <xdr:ext cx="76200" cy="200025"/>
    <xdr:sp macro="" textlink="">
      <xdr:nvSpPr>
        <xdr:cNvPr id="589" name="Text Box 3">
          <a:extLst>
            <a:ext uri="{FF2B5EF4-FFF2-40B4-BE49-F238E27FC236}">
              <a16:creationId xmlns:a16="http://schemas.microsoft.com/office/drawing/2014/main" id="{96BC4F05-5BEA-4A2E-AD84-2620A5442A64}"/>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982</xdr:row>
      <xdr:rowOff>0</xdr:rowOff>
    </xdr:from>
    <xdr:ext cx="76200" cy="200025"/>
    <xdr:sp macro="" textlink="">
      <xdr:nvSpPr>
        <xdr:cNvPr id="590" name="Text Box 3">
          <a:extLst>
            <a:ext uri="{FF2B5EF4-FFF2-40B4-BE49-F238E27FC236}">
              <a16:creationId xmlns:a16="http://schemas.microsoft.com/office/drawing/2014/main" id="{2567837D-48D2-4142-AC50-369520150D03}"/>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982</xdr:row>
      <xdr:rowOff>0</xdr:rowOff>
    </xdr:from>
    <xdr:ext cx="76200" cy="200025"/>
    <xdr:sp macro="" textlink="">
      <xdr:nvSpPr>
        <xdr:cNvPr id="591" name="Text Box 3">
          <a:extLst>
            <a:ext uri="{FF2B5EF4-FFF2-40B4-BE49-F238E27FC236}">
              <a16:creationId xmlns:a16="http://schemas.microsoft.com/office/drawing/2014/main" id="{281DD2AA-F985-4FA2-9D63-996762225394}"/>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982</xdr:row>
      <xdr:rowOff>0</xdr:rowOff>
    </xdr:from>
    <xdr:ext cx="76200" cy="200025"/>
    <xdr:sp macro="" textlink="">
      <xdr:nvSpPr>
        <xdr:cNvPr id="592" name="Text Box 3">
          <a:extLst>
            <a:ext uri="{FF2B5EF4-FFF2-40B4-BE49-F238E27FC236}">
              <a16:creationId xmlns:a16="http://schemas.microsoft.com/office/drawing/2014/main" id="{7F665028-720C-4385-B44D-2303343F26B1}"/>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982</xdr:row>
      <xdr:rowOff>0</xdr:rowOff>
    </xdr:from>
    <xdr:ext cx="76200" cy="200025"/>
    <xdr:sp macro="" textlink="">
      <xdr:nvSpPr>
        <xdr:cNvPr id="593" name="Text Box 3">
          <a:extLst>
            <a:ext uri="{FF2B5EF4-FFF2-40B4-BE49-F238E27FC236}">
              <a16:creationId xmlns:a16="http://schemas.microsoft.com/office/drawing/2014/main" id="{6AA136A7-E5D8-4871-BEE4-8475063910BC}"/>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982</xdr:row>
      <xdr:rowOff>0</xdr:rowOff>
    </xdr:from>
    <xdr:ext cx="76200" cy="196850"/>
    <xdr:sp macro="" textlink="">
      <xdr:nvSpPr>
        <xdr:cNvPr id="594" name="Text Box 3">
          <a:extLst>
            <a:ext uri="{FF2B5EF4-FFF2-40B4-BE49-F238E27FC236}">
              <a16:creationId xmlns:a16="http://schemas.microsoft.com/office/drawing/2014/main" id="{C8D90B05-A6FB-4B25-92DA-25724DBF4F0C}"/>
            </a:ext>
          </a:extLst>
        </xdr:cNvPr>
        <xdr:cNvSpPr txBox="1">
          <a:spLocks noChangeArrowheads="1"/>
        </xdr:cNvSpPr>
      </xdr:nvSpPr>
      <xdr:spPr bwMode="auto">
        <a:xfrm>
          <a:off x="4257675" y="152466675"/>
          <a:ext cx="76200" cy="196850"/>
        </a:xfrm>
        <a:prstGeom prst="rect">
          <a:avLst/>
        </a:prstGeom>
        <a:noFill/>
        <a:ln w="9525">
          <a:noFill/>
          <a:miter lim="800000"/>
          <a:headEnd/>
          <a:tailEnd/>
        </a:ln>
      </xdr:spPr>
    </xdr:sp>
    <xdr:clientData/>
  </xdr:oneCellAnchor>
  <xdr:oneCellAnchor>
    <xdr:from>
      <xdr:col>6</xdr:col>
      <xdr:colOff>590550</xdr:colOff>
      <xdr:row>982</xdr:row>
      <xdr:rowOff>0</xdr:rowOff>
    </xdr:from>
    <xdr:ext cx="76200" cy="200025"/>
    <xdr:sp macro="" textlink="">
      <xdr:nvSpPr>
        <xdr:cNvPr id="595" name="Text Box 3">
          <a:extLst>
            <a:ext uri="{FF2B5EF4-FFF2-40B4-BE49-F238E27FC236}">
              <a16:creationId xmlns:a16="http://schemas.microsoft.com/office/drawing/2014/main" id="{99BEC3DF-E408-446B-947F-58AA62314A95}"/>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982</xdr:row>
      <xdr:rowOff>0</xdr:rowOff>
    </xdr:from>
    <xdr:ext cx="76200" cy="200025"/>
    <xdr:sp macro="" textlink="">
      <xdr:nvSpPr>
        <xdr:cNvPr id="596" name="Text Box 3">
          <a:extLst>
            <a:ext uri="{FF2B5EF4-FFF2-40B4-BE49-F238E27FC236}">
              <a16:creationId xmlns:a16="http://schemas.microsoft.com/office/drawing/2014/main" id="{9A9AB3FE-7589-4123-B28B-1FE65873A50A}"/>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982</xdr:row>
      <xdr:rowOff>0</xdr:rowOff>
    </xdr:from>
    <xdr:ext cx="76200" cy="200025"/>
    <xdr:sp macro="" textlink="">
      <xdr:nvSpPr>
        <xdr:cNvPr id="597" name="Text Box 3">
          <a:extLst>
            <a:ext uri="{FF2B5EF4-FFF2-40B4-BE49-F238E27FC236}">
              <a16:creationId xmlns:a16="http://schemas.microsoft.com/office/drawing/2014/main" id="{2AC094F2-0B56-4562-83E7-494BA1CFCBFF}"/>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982</xdr:row>
      <xdr:rowOff>0</xdr:rowOff>
    </xdr:from>
    <xdr:ext cx="76200" cy="200025"/>
    <xdr:sp macro="" textlink="">
      <xdr:nvSpPr>
        <xdr:cNvPr id="598" name="Text Box 3">
          <a:extLst>
            <a:ext uri="{FF2B5EF4-FFF2-40B4-BE49-F238E27FC236}">
              <a16:creationId xmlns:a16="http://schemas.microsoft.com/office/drawing/2014/main" id="{0C9487D7-0B46-41D0-A6E2-4B43B945DD7B}"/>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982</xdr:row>
      <xdr:rowOff>0</xdr:rowOff>
    </xdr:from>
    <xdr:ext cx="76200" cy="200025"/>
    <xdr:sp macro="" textlink="">
      <xdr:nvSpPr>
        <xdr:cNvPr id="599" name="Text Box 3">
          <a:extLst>
            <a:ext uri="{FF2B5EF4-FFF2-40B4-BE49-F238E27FC236}">
              <a16:creationId xmlns:a16="http://schemas.microsoft.com/office/drawing/2014/main" id="{1305E990-91B5-441B-AE81-1C16678EBC21}"/>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982</xdr:row>
      <xdr:rowOff>0</xdr:rowOff>
    </xdr:from>
    <xdr:ext cx="76200" cy="196850"/>
    <xdr:sp macro="" textlink="">
      <xdr:nvSpPr>
        <xdr:cNvPr id="600" name="Text Box 3">
          <a:extLst>
            <a:ext uri="{FF2B5EF4-FFF2-40B4-BE49-F238E27FC236}">
              <a16:creationId xmlns:a16="http://schemas.microsoft.com/office/drawing/2014/main" id="{7F2767D1-6D2C-4C23-BE6F-3B67D843DB53}"/>
            </a:ext>
          </a:extLst>
        </xdr:cNvPr>
        <xdr:cNvSpPr txBox="1">
          <a:spLocks noChangeArrowheads="1"/>
        </xdr:cNvSpPr>
      </xdr:nvSpPr>
      <xdr:spPr bwMode="auto">
        <a:xfrm>
          <a:off x="4257675" y="152466675"/>
          <a:ext cx="76200" cy="196850"/>
        </a:xfrm>
        <a:prstGeom prst="rect">
          <a:avLst/>
        </a:prstGeom>
        <a:noFill/>
        <a:ln w="9525">
          <a:noFill/>
          <a:miter lim="800000"/>
          <a:headEnd/>
          <a:tailEnd/>
        </a:ln>
      </xdr:spPr>
    </xdr:sp>
    <xdr:clientData/>
  </xdr:oneCellAnchor>
  <xdr:oneCellAnchor>
    <xdr:from>
      <xdr:col>6</xdr:col>
      <xdr:colOff>590550</xdr:colOff>
      <xdr:row>982</xdr:row>
      <xdr:rowOff>0</xdr:rowOff>
    </xdr:from>
    <xdr:ext cx="76200" cy="200025"/>
    <xdr:sp macro="" textlink="">
      <xdr:nvSpPr>
        <xdr:cNvPr id="601" name="Text Box 3">
          <a:extLst>
            <a:ext uri="{FF2B5EF4-FFF2-40B4-BE49-F238E27FC236}">
              <a16:creationId xmlns:a16="http://schemas.microsoft.com/office/drawing/2014/main" id="{42385E36-BA50-4886-BDA8-73C6665ADD5D}"/>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982</xdr:row>
      <xdr:rowOff>0</xdr:rowOff>
    </xdr:from>
    <xdr:ext cx="76200" cy="200025"/>
    <xdr:sp macro="" textlink="">
      <xdr:nvSpPr>
        <xdr:cNvPr id="602" name="Text Box 3">
          <a:extLst>
            <a:ext uri="{FF2B5EF4-FFF2-40B4-BE49-F238E27FC236}">
              <a16:creationId xmlns:a16="http://schemas.microsoft.com/office/drawing/2014/main" id="{0F7A23E1-3B34-416A-860A-BE5838B2CEE3}"/>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982</xdr:row>
      <xdr:rowOff>0</xdr:rowOff>
    </xdr:from>
    <xdr:ext cx="76200" cy="200025"/>
    <xdr:sp macro="" textlink="">
      <xdr:nvSpPr>
        <xdr:cNvPr id="603" name="Text Box 3">
          <a:extLst>
            <a:ext uri="{FF2B5EF4-FFF2-40B4-BE49-F238E27FC236}">
              <a16:creationId xmlns:a16="http://schemas.microsoft.com/office/drawing/2014/main" id="{73E8F1E9-5FAB-4810-ADFB-C532D7DAD495}"/>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982</xdr:row>
      <xdr:rowOff>0</xdr:rowOff>
    </xdr:from>
    <xdr:ext cx="76200" cy="200025"/>
    <xdr:sp macro="" textlink="">
      <xdr:nvSpPr>
        <xdr:cNvPr id="604" name="Text Box 3">
          <a:extLst>
            <a:ext uri="{FF2B5EF4-FFF2-40B4-BE49-F238E27FC236}">
              <a16:creationId xmlns:a16="http://schemas.microsoft.com/office/drawing/2014/main" id="{A27D6ACE-A8B9-4502-A39E-B2316E41FEBB}"/>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982</xdr:row>
      <xdr:rowOff>0</xdr:rowOff>
    </xdr:from>
    <xdr:ext cx="76200" cy="200025"/>
    <xdr:sp macro="" textlink="">
      <xdr:nvSpPr>
        <xdr:cNvPr id="605" name="Text Box 3">
          <a:extLst>
            <a:ext uri="{FF2B5EF4-FFF2-40B4-BE49-F238E27FC236}">
              <a16:creationId xmlns:a16="http://schemas.microsoft.com/office/drawing/2014/main" id="{BDA297DB-26CE-4B8E-BF84-02BE6AABA2E1}"/>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982</xdr:row>
      <xdr:rowOff>0</xdr:rowOff>
    </xdr:from>
    <xdr:ext cx="76200" cy="196850"/>
    <xdr:sp macro="" textlink="">
      <xdr:nvSpPr>
        <xdr:cNvPr id="606" name="Text Box 3">
          <a:extLst>
            <a:ext uri="{FF2B5EF4-FFF2-40B4-BE49-F238E27FC236}">
              <a16:creationId xmlns:a16="http://schemas.microsoft.com/office/drawing/2014/main" id="{6F28C455-9E70-4CEF-A7D0-452C717B0E7F}"/>
            </a:ext>
          </a:extLst>
        </xdr:cNvPr>
        <xdr:cNvSpPr txBox="1">
          <a:spLocks noChangeArrowheads="1"/>
        </xdr:cNvSpPr>
      </xdr:nvSpPr>
      <xdr:spPr bwMode="auto">
        <a:xfrm>
          <a:off x="4257675" y="152466675"/>
          <a:ext cx="76200" cy="196850"/>
        </a:xfrm>
        <a:prstGeom prst="rect">
          <a:avLst/>
        </a:prstGeom>
        <a:noFill/>
        <a:ln w="9525">
          <a:noFill/>
          <a:miter lim="800000"/>
          <a:headEnd/>
          <a:tailEnd/>
        </a:ln>
      </xdr:spPr>
    </xdr:sp>
    <xdr:clientData/>
  </xdr:oneCellAnchor>
  <xdr:oneCellAnchor>
    <xdr:from>
      <xdr:col>6</xdr:col>
      <xdr:colOff>590550</xdr:colOff>
      <xdr:row>982</xdr:row>
      <xdr:rowOff>0</xdr:rowOff>
    </xdr:from>
    <xdr:ext cx="76200" cy="200025"/>
    <xdr:sp macro="" textlink="">
      <xdr:nvSpPr>
        <xdr:cNvPr id="607" name="Text Box 3">
          <a:extLst>
            <a:ext uri="{FF2B5EF4-FFF2-40B4-BE49-F238E27FC236}">
              <a16:creationId xmlns:a16="http://schemas.microsoft.com/office/drawing/2014/main" id="{1D811EBF-B0D2-494F-85FD-0FDE20033047}"/>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982</xdr:row>
      <xdr:rowOff>0</xdr:rowOff>
    </xdr:from>
    <xdr:ext cx="76200" cy="200025"/>
    <xdr:sp macro="" textlink="">
      <xdr:nvSpPr>
        <xdr:cNvPr id="608" name="Text Box 3">
          <a:extLst>
            <a:ext uri="{FF2B5EF4-FFF2-40B4-BE49-F238E27FC236}">
              <a16:creationId xmlns:a16="http://schemas.microsoft.com/office/drawing/2014/main" id="{64B58832-2808-42E9-9957-B82D0594F185}"/>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982</xdr:row>
      <xdr:rowOff>0</xdr:rowOff>
    </xdr:from>
    <xdr:ext cx="76200" cy="200025"/>
    <xdr:sp macro="" textlink="">
      <xdr:nvSpPr>
        <xdr:cNvPr id="609" name="Text Box 3">
          <a:extLst>
            <a:ext uri="{FF2B5EF4-FFF2-40B4-BE49-F238E27FC236}">
              <a16:creationId xmlns:a16="http://schemas.microsoft.com/office/drawing/2014/main" id="{E452A146-AA2C-409F-873B-A56C67AA0502}"/>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982</xdr:row>
      <xdr:rowOff>0</xdr:rowOff>
    </xdr:from>
    <xdr:ext cx="76200" cy="200025"/>
    <xdr:sp macro="" textlink="">
      <xdr:nvSpPr>
        <xdr:cNvPr id="610" name="Text Box 3">
          <a:extLst>
            <a:ext uri="{FF2B5EF4-FFF2-40B4-BE49-F238E27FC236}">
              <a16:creationId xmlns:a16="http://schemas.microsoft.com/office/drawing/2014/main" id="{3B52E0F5-0E4D-4529-AD48-896713FDAF04}"/>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982</xdr:row>
      <xdr:rowOff>0</xdr:rowOff>
    </xdr:from>
    <xdr:ext cx="76200" cy="200025"/>
    <xdr:sp macro="" textlink="">
      <xdr:nvSpPr>
        <xdr:cNvPr id="611" name="Text Box 3">
          <a:extLst>
            <a:ext uri="{FF2B5EF4-FFF2-40B4-BE49-F238E27FC236}">
              <a16:creationId xmlns:a16="http://schemas.microsoft.com/office/drawing/2014/main" id="{ADCB9774-2BFD-4948-8928-0E72F175D308}"/>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982</xdr:row>
      <xdr:rowOff>0</xdr:rowOff>
    </xdr:from>
    <xdr:ext cx="76200" cy="196850"/>
    <xdr:sp macro="" textlink="">
      <xdr:nvSpPr>
        <xdr:cNvPr id="612" name="Text Box 3">
          <a:extLst>
            <a:ext uri="{FF2B5EF4-FFF2-40B4-BE49-F238E27FC236}">
              <a16:creationId xmlns:a16="http://schemas.microsoft.com/office/drawing/2014/main" id="{9E817E4F-7EFE-42F6-82B0-C8211F10EB56}"/>
            </a:ext>
          </a:extLst>
        </xdr:cNvPr>
        <xdr:cNvSpPr txBox="1">
          <a:spLocks noChangeArrowheads="1"/>
        </xdr:cNvSpPr>
      </xdr:nvSpPr>
      <xdr:spPr bwMode="auto">
        <a:xfrm>
          <a:off x="4257675" y="152466675"/>
          <a:ext cx="76200" cy="196850"/>
        </a:xfrm>
        <a:prstGeom prst="rect">
          <a:avLst/>
        </a:prstGeom>
        <a:noFill/>
        <a:ln w="9525">
          <a:noFill/>
          <a:miter lim="800000"/>
          <a:headEnd/>
          <a:tailEnd/>
        </a:ln>
      </xdr:spPr>
    </xdr:sp>
    <xdr:clientData/>
  </xdr:oneCellAnchor>
  <xdr:oneCellAnchor>
    <xdr:from>
      <xdr:col>6</xdr:col>
      <xdr:colOff>590550</xdr:colOff>
      <xdr:row>982</xdr:row>
      <xdr:rowOff>0</xdr:rowOff>
    </xdr:from>
    <xdr:ext cx="76200" cy="200025"/>
    <xdr:sp macro="" textlink="">
      <xdr:nvSpPr>
        <xdr:cNvPr id="613" name="Text Box 3">
          <a:extLst>
            <a:ext uri="{FF2B5EF4-FFF2-40B4-BE49-F238E27FC236}">
              <a16:creationId xmlns:a16="http://schemas.microsoft.com/office/drawing/2014/main" id="{B7C13E1C-49E8-433D-BAAA-C9A4510732E7}"/>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982</xdr:row>
      <xdr:rowOff>0</xdr:rowOff>
    </xdr:from>
    <xdr:ext cx="76200" cy="200025"/>
    <xdr:sp macro="" textlink="">
      <xdr:nvSpPr>
        <xdr:cNvPr id="614" name="Text Box 3">
          <a:extLst>
            <a:ext uri="{FF2B5EF4-FFF2-40B4-BE49-F238E27FC236}">
              <a16:creationId xmlns:a16="http://schemas.microsoft.com/office/drawing/2014/main" id="{01E99A1A-F596-4106-96A8-F78DBC28D93C}"/>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982</xdr:row>
      <xdr:rowOff>0</xdr:rowOff>
    </xdr:from>
    <xdr:ext cx="76200" cy="200025"/>
    <xdr:sp macro="" textlink="">
      <xdr:nvSpPr>
        <xdr:cNvPr id="615" name="Text Box 3">
          <a:extLst>
            <a:ext uri="{FF2B5EF4-FFF2-40B4-BE49-F238E27FC236}">
              <a16:creationId xmlns:a16="http://schemas.microsoft.com/office/drawing/2014/main" id="{AAD46418-6D11-4C50-BE86-8C3EB904B922}"/>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982</xdr:row>
      <xdr:rowOff>0</xdr:rowOff>
    </xdr:from>
    <xdr:ext cx="76200" cy="200025"/>
    <xdr:sp macro="" textlink="">
      <xdr:nvSpPr>
        <xdr:cNvPr id="616" name="Text Box 3">
          <a:extLst>
            <a:ext uri="{FF2B5EF4-FFF2-40B4-BE49-F238E27FC236}">
              <a16:creationId xmlns:a16="http://schemas.microsoft.com/office/drawing/2014/main" id="{76470BA0-FD46-4A82-9CD1-737A119C9FBD}"/>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982</xdr:row>
      <xdr:rowOff>0</xdr:rowOff>
    </xdr:from>
    <xdr:ext cx="76200" cy="200025"/>
    <xdr:sp macro="" textlink="">
      <xdr:nvSpPr>
        <xdr:cNvPr id="617" name="Text Box 3">
          <a:extLst>
            <a:ext uri="{FF2B5EF4-FFF2-40B4-BE49-F238E27FC236}">
              <a16:creationId xmlns:a16="http://schemas.microsoft.com/office/drawing/2014/main" id="{9969EA78-C36A-4806-B19C-1E5210EA8318}"/>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982</xdr:row>
      <xdr:rowOff>0</xdr:rowOff>
    </xdr:from>
    <xdr:ext cx="76200" cy="196850"/>
    <xdr:sp macro="" textlink="">
      <xdr:nvSpPr>
        <xdr:cNvPr id="618" name="Text Box 3">
          <a:extLst>
            <a:ext uri="{FF2B5EF4-FFF2-40B4-BE49-F238E27FC236}">
              <a16:creationId xmlns:a16="http://schemas.microsoft.com/office/drawing/2014/main" id="{31C849FC-79A7-4FCE-A67B-FB654905F418}"/>
            </a:ext>
          </a:extLst>
        </xdr:cNvPr>
        <xdr:cNvSpPr txBox="1">
          <a:spLocks noChangeArrowheads="1"/>
        </xdr:cNvSpPr>
      </xdr:nvSpPr>
      <xdr:spPr bwMode="auto">
        <a:xfrm>
          <a:off x="4257675" y="152466675"/>
          <a:ext cx="76200" cy="196850"/>
        </a:xfrm>
        <a:prstGeom prst="rect">
          <a:avLst/>
        </a:prstGeom>
        <a:noFill/>
        <a:ln w="9525">
          <a:noFill/>
          <a:miter lim="800000"/>
          <a:headEnd/>
          <a:tailEnd/>
        </a:ln>
      </xdr:spPr>
    </xdr:sp>
    <xdr:clientData/>
  </xdr:oneCellAnchor>
  <xdr:oneCellAnchor>
    <xdr:from>
      <xdr:col>6</xdr:col>
      <xdr:colOff>590550</xdr:colOff>
      <xdr:row>982</xdr:row>
      <xdr:rowOff>0</xdr:rowOff>
    </xdr:from>
    <xdr:ext cx="76200" cy="200025"/>
    <xdr:sp macro="" textlink="">
      <xdr:nvSpPr>
        <xdr:cNvPr id="619" name="Text Box 3">
          <a:extLst>
            <a:ext uri="{FF2B5EF4-FFF2-40B4-BE49-F238E27FC236}">
              <a16:creationId xmlns:a16="http://schemas.microsoft.com/office/drawing/2014/main" id="{FBAB0B43-7072-4BA9-9226-04B76C9D71B1}"/>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982</xdr:row>
      <xdr:rowOff>0</xdr:rowOff>
    </xdr:from>
    <xdr:ext cx="76200" cy="200025"/>
    <xdr:sp macro="" textlink="">
      <xdr:nvSpPr>
        <xdr:cNvPr id="620" name="Text Box 3">
          <a:extLst>
            <a:ext uri="{FF2B5EF4-FFF2-40B4-BE49-F238E27FC236}">
              <a16:creationId xmlns:a16="http://schemas.microsoft.com/office/drawing/2014/main" id="{04B0E87C-EE53-40F6-BE2C-3F0637880D6E}"/>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982</xdr:row>
      <xdr:rowOff>0</xdr:rowOff>
    </xdr:from>
    <xdr:ext cx="76200" cy="200025"/>
    <xdr:sp macro="" textlink="">
      <xdr:nvSpPr>
        <xdr:cNvPr id="621" name="Text Box 3">
          <a:extLst>
            <a:ext uri="{FF2B5EF4-FFF2-40B4-BE49-F238E27FC236}">
              <a16:creationId xmlns:a16="http://schemas.microsoft.com/office/drawing/2014/main" id="{01CF11C1-3874-47B0-849F-B08E1B8BDD1C}"/>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982</xdr:row>
      <xdr:rowOff>0</xdr:rowOff>
    </xdr:from>
    <xdr:ext cx="76200" cy="200025"/>
    <xdr:sp macro="" textlink="">
      <xdr:nvSpPr>
        <xdr:cNvPr id="622" name="Text Box 3">
          <a:extLst>
            <a:ext uri="{FF2B5EF4-FFF2-40B4-BE49-F238E27FC236}">
              <a16:creationId xmlns:a16="http://schemas.microsoft.com/office/drawing/2014/main" id="{3C3DE4F6-36B6-4858-98E4-40635F79932E}"/>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982</xdr:row>
      <xdr:rowOff>0</xdr:rowOff>
    </xdr:from>
    <xdr:ext cx="76200" cy="200025"/>
    <xdr:sp macro="" textlink="">
      <xdr:nvSpPr>
        <xdr:cNvPr id="623" name="Text Box 3">
          <a:extLst>
            <a:ext uri="{FF2B5EF4-FFF2-40B4-BE49-F238E27FC236}">
              <a16:creationId xmlns:a16="http://schemas.microsoft.com/office/drawing/2014/main" id="{1066255B-1055-4247-AACA-3443A344005F}"/>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982</xdr:row>
      <xdr:rowOff>0</xdr:rowOff>
    </xdr:from>
    <xdr:ext cx="76200" cy="196850"/>
    <xdr:sp macro="" textlink="">
      <xdr:nvSpPr>
        <xdr:cNvPr id="624" name="Text Box 3">
          <a:extLst>
            <a:ext uri="{FF2B5EF4-FFF2-40B4-BE49-F238E27FC236}">
              <a16:creationId xmlns:a16="http://schemas.microsoft.com/office/drawing/2014/main" id="{78114AC7-7372-46F3-89E2-4E9D331E5AE4}"/>
            </a:ext>
          </a:extLst>
        </xdr:cNvPr>
        <xdr:cNvSpPr txBox="1">
          <a:spLocks noChangeArrowheads="1"/>
        </xdr:cNvSpPr>
      </xdr:nvSpPr>
      <xdr:spPr bwMode="auto">
        <a:xfrm>
          <a:off x="4257675" y="152466675"/>
          <a:ext cx="76200" cy="196850"/>
        </a:xfrm>
        <a:prstGeom prst="rect">
          <a:avLst/>
        </a:prstGeom>
        <a:noFill/>
        <a:ln w="9525">
          <a:noFill/>
          <a:miter lim="800000"/>
          <a:headEnd/>
          <a:tailEnd/>
        </a:ln>
      </xdr:spPr>
    </xdr:sp>
    <xdr:clientData/>
  </xdr:oneCellAnchor>
  <xdr:oneCellAnchor>
    <xdr:from>
      <xdr:col>6</xdr:col>
      <xdr:colOff>590550</xdr:colOff>
      <xdr:row>982</xdr:row>
      <xdr:rowOff>0</xdr:rowOff>
    </xdr:from>
    <xdr:ext cx="76200" cy="200025"/>
    <xdr:sp macro="" textlink="">
      <xdr:nvSpPr>
        <xdr:cNvPr id="625" name="Text Box 3">
          <a:extLst>
            <a:ext uri="{FF2B5EF4-FFF2-40B4-BE49-F238E27FC236}">
              <a16:creationId xmlns:a16="http://schemas.microsoft.com/office/drawing/2014/main" id="{EDE67392-F136-46C9-8275-16160733C61E}"/>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984</xdr:row>
      <xdr:rowOff>0</xdr:rowOff>
    </xdr:from>
    <xdr:ext cx="76200" cy="200025"/>
    <xdr:sp macro="" textlink="">
      <xdr:nvSpPr>
        <xdr:cNvPr id="626" name="Text Box 3">
          <a:extLst>
            <a:ext uri="{FF2B5EF4-FFF2-40B4-BE49-F238E27FC236}">
              <a16:creationId xmlns:a16="http://schemas.microsoft.com/office/drawing/2014/main" id="{92997022-4F1F-4807-8A8E-E7E051B01EB4}"/>
            </a:ext>
          </a:extLst>
        </xdr:cNvPr>
        <xdr:cNvSpPr txBox="1">
          <a:spLocks noChangeArrowheads="1"/>
        </xdr:cNvSpPr>
      </xdr:nvSpPr>
      <xdr:spPr bwMode="auto">
        <a:xfrm>
          <a:off x="4257675" y="152828625"/>
          <a:ext cx="76200" cy="200025"/>
        </a:xfrm>
        <a:prstGeom prst="rect">
          <a:avLst/>
        </a:prstGeom>
        <a:noFill/>
        <a:ln w="9525">
          <a:noFill/>
          <a:miter lim="800000"/>
          <a:headEnd/>
          <a:tailEnd/>
        </a:ln>
      </xdr:spPr>
    </xdr:sp>
    <xdr:clientData/>
  </xdr:oneCellAnchor>
  <xdr:oneCellAnchor>
    <xdr:from>
      <xdr:col>0</xdr:col>
      <xdr:colOff>0</xdr:colOff>
      <xdr:row>984</xdr:row>
      <xdr:rowOff>0</xdr:rowOff>
    </xdr:from>
    <xdr:ext cx="28575" cy="104775"/>
    <xdr:sp macro="" textlink="">
      <xdr:nvSpPr>
        <xdr:cNvPr id="627" name="Text Box 4">
          <a:extLst>
            <a:ext uri="{FF2B5EF4-FFF2-40B4-BE49-F238E27FC236}">
              <a16:creationId xmlns:a16="http://schemas.microsoft.com/office/drawing/2014/main" id="{A51B002D-45EA-465F-AD60-B0B02EAEB070}"/>
            </a:ext>
          </a:extLst>
        </xdr:cNvPr>
        <xdr:cNvSpPr txBox="1">
          <a:spLocks noChangeArrowheads="1"/>
        </xdr:cNvSpPr>
      </xdr:nvSpPr>
      <xdr:spPr bwMode="auto">
        <a:xfrm>
          <a:off x="0" y="152828625"/>
          <a:ext cx="28575" cy="104775"/>
        </a:xfrm>
        <a:prstGeom prst="rect">
          <a:avLst/>
        </a:prstGeom>
        <a:noFill/>
        <a:ln w="9525">
          <a:noFill/>
          <a:miter lim="800000"/>
          <a:headEnd/>
          <a:tailEnd/>
        </a:ln>
      </xdr:spPr>
    </xdr:sp>
    <xdr:clientData/>
  </xdr:oneCellAnchor>
  <xdr:oneCellAnchor>
    <xdr:from>
      <xdr:col>6</xdr:col>
      <xdr:colOff>590550</xdr:colOff>
      <xdr:row>983</xdr:row>
      <xdr:rowOff>0</xdr:rowOff>
    </xdr:from>
    <xdr:ext cx="76200" cy="196850"/>
    <xdr:sp macro="" textlink="">
      <xdr:nvSpPr>
        <xdr:cNvPr id="628" name="Text Box 3">
          <a:extLst>
            <a:ext uri="{FF2B5EF4-FFF2-40B4-BE49-F238E27FC236}">
              <a16:creationId xmlns:a16="http://schemas.microsoft.com/office/drawing/2014/main" id="{35BF2F70-FB2D-4822-AABA-8C182191B21E}"/>
            </a:ext>
          </a:extLst>
        </xdr:cNvPr>
        <xdr:cNvSpPr txBox="1">
          <a:spLocks noChangeArrowheads="1"/>
        </xdr:cNvSpPr>
      </xdr:nvSpPr>
      <xdr:spPr bwMode="auto">
        <a:xfrm>
          <a:off x="4257675" y="152628600"/>
          <a:ext cx="76200" cy="196850"/>
        </a:xfrm>
        <a:prstGeom prst="rect">
          <a:avLst/>
        </a:prstGeom>
        <a:noFill/>
        <a:ln w="9525">
          <a:noFill/>
          <a:miter lim="800000"/>
          <a:headEnd/>
          <a:tailEnd/>
        </a:ln>
      </xdr:spPr>
    </xdr:sp>
    <xdr:clientData/>
  </xdr:oneCellAnchor>
  <xdr:oneCellAnchor>
    <xdr:from>
      <xdr:col>0</xdr:col>
      <xdr:colOff>0</xdr:colOff>
      <xdr:row>983</xdr:row>
      <xdr:rowOff>0</xdr:rowOff>
    </xdr:from>
    <xdr:ext cx="28575" cy="104775"/>
    <xdr:sp macro="" textlink="">
      <xdr:nvSpPr>
        <xdr:cNvPr id="629" name="Text Box 4">
          <a:extLst>
            <a:ext uri="{FF2B5EF4-FFF2-40B4-BE49-F238E27FC236}">
              <a16:creationId xmlns:a16="http://schemas.microsoft.com/office/drawing/2014/main" id="{29B31537-8B8E-4EFA-8D2C-6E692843A2AD}"/>
            </a:ext>
          </a:extLst>
        </xdr:cNvPr>
        <xdr:cNvSpPr txBox="1">
          <a:spLocks noChangeArrowheads="1"/>
        </xdr:cNvSpPr>
      </xdr:nvSpPr>
      <xdr:spPr bwMode="auto">
        <a:xfrm>
          <a:off x="0" y="152628600"/>
          <a:ext cx="28575" cy="104775"/>
        </a:xfrm>
        <a:prstGeom prst="rect">
          <a:avLst/>
        </a:prstGeom>
        <a:noFill/>
        <a:ln w="9525">
          <a:noFill/>
          <a:miter lim="800000"/>
          <a:headEnd/>
          <a:tailEnd/>
        </a:ln>
      </xdr:spPr>
    </xdr:sp>
    <xdr:clientData/>
  </xdr:oneCellAnchor>
  <xdr:oneCellAnchor>
    <xdr:from>
      <xdr:col>6</xdr:col>
      <xdr:colOff>590550</xdr:colOff>
      <xdr:row>1041</xdr:row>
      <xdr:rowOff>0</xdr:rowOff>
    </xdr:from>
    <xdr:ext cx="76200" cy="200025"/>
    <xdr:sp macro="" textlink="">
      <xdr:nvSpPr>
        <xdr:cNvPr id="630" name="Text Box 3">
          <a:extLst>
            <a:ext uri="{FF2B5EF4-FFF2-40B4-BE49-F238E27FC236}">
              <a16:creationId xmlns:a16="http://schemas.microsoft.com/office/drawing/2014/main" id="{86D137FC-CA0C-4074-81B6-AA230B6C3A33}"/>
            </a:ext>
          </a:extLst>
        </xdr:cNvPr>
        <xdr:cNvSpPr txBox="1">
          <a:spLocks noChangeArrowheads="1"/>
        </xdr:cNvSpPr>
      </xdr:nvSpPr>
      <xdr:spPr bwMode="auto">
        <a:xfrm>
          <a:off x="4354830" y="166116000"/>
          <a:ext cx="76200" cy="200025"/>
        </a:xfrm>
        <a:prstGeom prst="rect">
          <a:avLst/>
        </a:prstGeom>
        <a:noFill/>
        <a:ln w="9525">
          <a:noFill/>
          <a:miter lim="800000"/>
          <a:headEnd/>
          <a:tailEnd/>
        </a:ln>
      </xdr:spPr>
    </xdr:sp>
    <xdr:clientData/>
  </xdr:oneCellAnchor>
  <xdr:oneCellAnchor>
    <xdr:from>
      <xdr:col>0</xdr:col>
      <xdr:colOff>0</xdr:colOff>
      <xdr:row>1041</xdr:row>
      <xdr:rowOff>0</xdr:rowOff>
    </xdr:from>
    <xdr:ext cx="28575" cy="104775"/>
    <xdr:sp macro="" textlink="">
      <xdr:nvSpPr>
        <xdr:cNvPr id="631" name="Text Box 4">
          <a:extLst>
            <a:ext uri="{FF2B5EF4-FFF2-40B4-BE49-F238E27FC236}">
              <a16:creationId xmlns:a16="http://schemas.microsoft.com/office/drawing/2014/main" id="{D2DFEE4C-FA46-4EAB-8F7D-EA8994B8E464}"/>
            </a:ext>
          </a:extLst>
        </xdr:cNvPr>
        <xdr:cNvSpPr txBox="1">
          <a:spLocks noChangeArrowheads="1"/>
        </xdr:cNvSpPr>
      </xdr:nvSpPr>
      <xdr:spPr bwMode="auto">
        <a:xfrm>
          <a:off x="0" y="166116000"/>
          <a:ext cx="28575" cy="104775"/>
        </a:xfrm>
        <a:prstGeom prst="rect">
          <a:avLst/>
        </a:prstGeom>
        <a:noFill/>
        <a:ln w="9525">
          <a:noFill/>
          <a:miter lim="800000"/>
          <a:headEnd/>
          <a:tailEnd/>
        </a:ln>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6</xdr:col>
      <xdr:colOff>590550</xdr:colOff>
      <xdr:row>32</xdr:row>
      <xdr:rowOff>0</xdr:rowOff>
    </xdr:from>
    <xdr:to>
      <xdr:col>7</xdr:col>
      <xdr:colOff>76200</xdr:colOff>
      <xdr:row>33</xdr:row>
      <xdr:rowOff>38100</xdr:rowOff>
    </xdr:to>
    <xdr:sp macro="" textlink="">
      <xdr:nvSpPr>
        <xdr:cNvPr id="18529" name="Text Box 3">
          <a:extLst>
            <a:ext uri="{FF2B5EF4-FFF2-40B4-BE49-F238E27FC236}">
              <a16:creationId xmlns:a16="http://schemas.microsoft.com/office/drawing/2014/main" id="{00000000-0008-0000-0600-000061480000}"/>
            </a:ext>
          </a:extLst>
        </xdr:cNvPr>
        <xdr:cNvSpPr txBox="1">
          <a:spLocks noChangeArrowheads="1"/>
        </xdr:cNvSpPr>
      </xdr:nvSpPr>
      <xdr:spPr bwMode="auto">
        <a:xfrm>
          <a:off x="3600450" y="8772525"/>
          <a:ext cx="76200" cy="200025"/>
        </a:xfrm>
        <a:prstGeom prst="rect">
          <a:avLst/>
        </a:prstGeom>
        <a:noFill/>
        <a:ln w="9525">
          <a:noFill/>
          <a:miter lim="800000"/>
          <a:headEnd/>
          <a:tailEnd/>
        </a:ln>
      </xdr:spPr>
    </xdr:sp>
    <xdr:clientData/>
  </xdr:twoCellAnchor>
  <xdr:twoCellAnchor editAs="oneCell">
    <xdr:from>
      <xdr:col>1</xdr:col>
      <xdr:colOff>247650</xdr:colOff>
      <xdr:row>32</xdr:row>
      <xdr:rowOff>0</xdr:rowOff>
    </xdr:from>
    <xdr:to>
      <xdr:col>1</xdr:col>
      <xdr:colOff>276225</xdr:colOff>
      <xdr:row>32</xdr:row>
      <xdr:rowOff>104775</xdr:rowOff>
    </xdr:to>
    <xdr:sp macro="" textlink="">
      <xdr:nvSpPr>
        <xdr:cNvPr id="18530" name="Text Box 4">
          <a:extLst>
            <a:ext uri="{FF2B5EF4-FFF2-40B4-BE49-F238E27FC236}">
              <a16:creationId xmlns:a16="http://schemas.microsoft.com/office/drawing/2014/main" id="{00000000-0008-0000-0600-000062480000}"/>
            </a:ext>
          </a:extLst>
        </xdr:cNvPr>
        <xdr:cNvSpPr txBox="1">
          <a:spLocks noChangeArrowheads="1"/>
        </xdr:cNvSpPr>
      </xdr:nvSpPr>
      <xdr:spPr bwMode="auto">
        <a:xfrm>
          <a:off x="685800" y="8829675"/>
          <a:ext cx="28575" cy="10477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brford@acgov.org" TargetMode="External"/><Relationship Id="rId1" Type="http://schemas.openxmlformats.org/officeDocument/2006/relationships/hyperlink" Target="mailto:mdawal@acgov.org"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openjustice.doj.ca.gov/exploration/crime-statistics/arrest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U60"/>
  <sheetViews>
    <sheetView showGridLines="0" tabSelected="1" zoomScaleNormal="100" workbookViewId="0">
      <pane ySplit="6" topLeftCell="A19" activePane="bottomLeft" state="frozen"/>
      <selection pane="bottomLeft" activeCell="P33" sqref="P32:P33"/>
    </sheetView>
  </sheetViews>
  <sheetFormatPr defaultRowHeight="13.2" x14ac:dyDescent="0.25"/>
  <cols>
    <col min="1" max="1" width="9.88671875" style="39" customWidth="1"/>
    <col min="2" max="2" width="9.109375" style="39"/>
    <col min="3" max="3" width="6" style="39" customWidth="1"/>
    <col min="4" max="10" width="10.33203125" style="39" customWidth="1"/>
  </cols>
  <sheetData>
    <row r="1" spans="1:10" s="4" customFormat="1" ht="2.1" customHeight="1" x14ac:dyDescent="0.25">
      <c r="A1" s="60"/>
      <c r="B1" s="61"/>
      <c r="C1" s="61"/>
      <c r="D1" s="61"/>
      <c r="E1" s="61"/>
      <c r="F1" s="61"/>
      <c r="G1" s="61"/>
      <c r="H1" s="61"/>
      <c r="I1" s="61"/>
      <c r="J1" s="62"/>
    </row>
    <row r="2" spans="1:10" ht="8.1" customHeight="1" x14ac:dyDescent="0.25">
      <c r="A2" s="262"/>
      <c r="B2" s="263"/>
      <c r="C2" s="104"/>
      <c r="D2" s="85"/>
      <c r="E2" s="85"/>
      <c r="F2" s="85"/>
      <c r="G2" s="85"/>
      <c r="H2" s="85"/>
      <c r="I2" s="85"/>
      <c r="J2" s="86"/>
    </row>
    <row r="3" spans="1:10" ht="15" customHeight="1" x14ac:dyDescent="0.25">
      <c r="A3" s="264"/>
      <c r="B3" s="265"/>
      <c r="C3" s="105"/>
      <c r="D3" s="107" t="s">
        <v>831</v>
      </c>
      <c r="E3" s="87"/>
      <c r="F3" s="87"/>
      <c r="G3" s="87"/>
      <c r="H3" s="87"/>
      <c r="I3" s="87"/>
      <c r="J3" s="88"/>
    </row>
    <row r="4" spans="1:10" ht="15" customHeight="1" x14ac:dyDescent="0.25">
      <c r="A4" s="264"/>
      <c r="B4" s="265"/>
      <c r="C4" s="105"/>
      <c r="D4" s="107" t="s">
        <v>927</v>
      </c>
      <c r="E4" s="87"/>
      <c r="F4" s="87"/>
      <c r="G4" s="87"/>
      <c r="H4" s="87"/>
      <c r="I4" s="87"/>
      <c r="J4" s="88"/>
    </row>
    <row r="5" spans="1:10" ht="15" customHeight="1" x14ac:dyDescent="0.25">
      <c r="A5" s="264"/>
      <c r="B5" s="265"/>
      <c r="C5" s="105"/>
      <c r="D5" s="107" t="s">
        <v>921</v>
      </c>
      <c r="E5" s="63"/>
      <c r="F5" s="63"/>
      <c r="G5" s="63"/>
      <c r="H5" s="63"/>
      <c r="I5" s="63"/>
      <c r="J5" s="64"/>
    </row>
    <row r="6" spans="1:10" ht="8.1" customHeight="1" x14ac:dyDescent="0.25">
      <c r="A6" s="266"/>
      <c r="B6" s="267"/>
      <c r="C6" s="106"/>
      <c r="D6" s="65"/>
      <c r="E6" s="65"/>
      <c r="F6" s="65"/>
      <c r="G6" s="65"/>
      <c r="H6" s="65"/>
      <c r="I6" s="65"/>
      <c r="J6" s="66"/>
    </row>
    <row r="7" spans="1:10" s="1" customFormat="1" ht="6" customHeight="1" x14ac:dyDescent="0.25">
      <c r="A7" s="76"/>
      <c r="B7" s="82"/>
      <c r="C7" s="83"/>
      <c r="D7" s="83"/>
      <c r="E7" s="83"/>
      <c r="F7" s="83"/>
      <c r="G7" s="83"/>
      <c r="H7" s="83"/>
      <c r="I7" s="83"/>
      <c r="J7" s="84"/>
    </row>
    <row r="8" spans="1:10" ht="12.75" customHeight="1" x14ac:dyDescent="0.25">
      <c r="A8" s="277" t="s">
        <v>922</v>
      </c>
      <c r="B8" s="278"/>
      <c r="C8" s="278"/>
      <c r="D8" s="278"/>
      <c r="E8" s="278"/>
      <c r="F8" s="278"/>
      <c r="G8" s="278"/>
      <c r="H8" s="278"/>
      <c r="I8" s="278"/>
      <c r="J8" s="279"/>
    </row>
    <row r="9" spans="1:10" x14ac:dyDescent="0.25">
      <c r="A9" s="280"/>
      <c r="B9" s="278"/>
      <c r="C9" s="278"/>
      <c r="D9" s="278"/>
      <c r="E9" s="278"/>
      <c r="F9" s="278"/>
      <c r="G9" s="278"/>
      <c r="H9" s="278"/>
      <c r="I9" s="278"/>
      <c r="J9" s="279"/>
    </row>
    <row r="10" spans="1:10" x14ac:dyDescent="0.25">
      <c r="A10" s="280"/>
      <c r="B10" s="278"/>
      <c r="C10" s="278"/>
      <c r="D10" s="278"/>
      <c r="E10" s="278"/>
      <c r="F10" s="278"/>
      <c r="G10" s="278"/>
      <c r="H10" s="278"/>
      <c r="I10" s="278"/>
      <c r="J10" s="279"/>
    </row>
    <row r="11" spans="1:10" x14ac:dyDescent="0.25">
      <c r="A11" s="280"/>
      <c r="B11" s="278"/>
      <c r="C11" s="278"/>
      <c r="D11" s="278"/>
      <c r="E11" s="278"/>
      <c r="F11" s="278"/>
      <c r="G11" s="278"/>
      <c r="H11" s="278"/>
      <c r="I11" s="278"/>
      <c r="J11" s="279"/>
    </row>
    <row r="12" spans="1:10" x14ac:dyDescent="0.25">
      <c r="A12" s="280"/>
      <c r="B12" s="278"/>
      <c r="C12" s="278"/>
      <c r="D12" s="278"/>
      <c r="E12" s="278"/>
      <c r="F12" s="278"/>
      <c r="G12" s="278"/>
      <c r="H12" s="278"/>
      <c r="I12" s="278"/>
      <c r="J12" s="279"/>
    </row>
    <row r="13" spans="1:10" x14ac:dyDescent="0.25">
      <c r="A13" s="280"/>
      <c r="B13" s="278"/>
      <c r="C13" s="278"/>
      <c r="D13" s="278"/>
      <c r="E13" s="278"/>
      <c r="F13" s="278"/>
      <c r="G13" s="278"/>
      <c r="H13" s="278"/>
      <c r="I13" s="278"/>
      <c r="J13" s="279"/>
    </row>
    <row r="14" spans="1:10" x14ac:dyDescent="0.25">
      <c r="A14" s="280"/>
      <c r="B14" s="278"/>
      <c r="C14" s="278"/>
      <c r="D14" s="278"/>
      <c r="E14" s="278"/>
      <c r="F14" s="278"/>
      <c r="G14" s="278"/>
      <c r="H14" s="278"/>
      <c r="I14" s="278"/>
      <c r="J14" s="279"/>
    </row>
    <row r="15" spans="1:10" ht="6" customHeight="1" x14ac:dyDescent="0.25">
      <c r="A15" s="281"/>
      <c r="B15" s="282"/>
      <c r="C15" s="282"/>
      <c r="D15" s="282"/>
      <c r="E15" s="282"/>
      <c r="F15" s="282"/>
      <c r="G15" s="282"/>
      <c r="H15" s="282"/>
      <c r="I15" s="282"/>
      <c r="J15" s="283"/>
    </row>
    <row r="16" spans="1:10" ht="12.75" customHeight="1" x14ac:dyDescent="0.25">
      <c r="A16" s="284" t="s">
        <v>928</v>
      </c>
      <c r="B16" s="285"/>
      <c r="C16" s="285"/>
      <c r="D16" s="285"/>
      <c r="E16" s="285"/>
      <c r="F16" s="285"/>
      <c r="G16" s="285"/>
      <c r="H16" s="285"/>
      <c r="I16" s="285"/>
      <c r="J16" s="286"/>
    </row>
    <row r="17" spans="1:18" ht="12.75" customHeight="1" x14ac:dyDescent="0.25">
      <c r="A17" s="284"/>
      <c r="B17" s="285"/>
      <c r="C17" s="285"/>
      <c r="D17" s="285"/>
      <c r="E17" s="285"/>
      <c r="F17" s="285"/>
      <c r="G17" s="285"/>
      <c r="H17" s="285"/>
      <c r="I17" s="285"/>
      <c r="J17" s="286"/>
    </row>
    <row r="18" spans="1:18" ht="6" customHeight="1" x14ac:dyDescent="0.25">
      <c r="A18" s="114"/>
      <c r="B18" s="115"/>
      <c r="C18" s="115"/>
      <c r="D18" s="115"/>
      <c r="E18" s="115"/>
      <c r="F18" s="115"/>
      <c r="G18" s="115"/>
      <c r="H18" s="115"/>
      <c r="I18" s="115"/>
      <c r="J18" s="116"/>
    </row>
    <row r="19" spans="1:18" ht="12.75" customHeight="1" x14ac:dyDescent="0.25">
      <c r="A19" s="240" t="s">
        <v>918</v>
      </c>
      <c r="B19" s="290"/>
      <c r="C19" s="290"/>
      <c r="D19" s="290"/>
      <c r="E19" s="290"/>
      <c r="F19" s="290"/>
      <c r="G19" s="290"/>
      <c r="H19" s="290"/>
      <c r="I19" s="290"/>
      <c r="J19" s="291"/>
    </row>
    <row r="20" spans="1:18" ht="30" customHeight="1" x14ac:dyDescent="0.25">
      <c r="A20" s="292"/>
      <c r="B20" s="290"/>
      <c r="C20" s="290"/>
      <c r="D20" s="290"/>
      <c r="E20" s="290"/>
      <c r="F20" s="290"/>
      <c r="G20" s="290"/>
      <c r="H20" s="290"/>
      <c r="I20" s="290"/>
      <c r="J20" s="291"/>
    </row>
    <row r="21" spans="1:18" ht="4.95" customHeight="1" x14ac:dyDescent="0.25">
      <c r="A21" s="112"/>
      <c r="B21" s="74"/>
      <c r="C21" s="74"/>
      <c r="D21" s="74"/>
      <c r="E21" s="74"/>
      <c r="F21" s="74"/>
      <c r="G21" s="74"/>
      <c r="H21" s="74"/>
      <c r="I21" s="74"/>
      <c r="J21" s="111"/>
    </row>
    <row r="22" spans="1:18" ht="15" customHeight="1" x14ac:dyDescent="0.25">
      <c r="A22" s="67" t="s">
        <v>522</v>
      </c>
      <c r="B22" s="68"/>
      <c r="C22" s="68"/>
      <c r="D22" s="68"/>
      <c r="E22" s="68"/>
      <c r="F22" s="68"/>
      <c r="G22" s="68"/>
      <c r="H22" s="68"/>
      <c r="I22" s="68"/>
      <c r="J22" s="69"/>
      <c r="L22" s="1"/>
      <c r="N22" s="4"/>
      <c r="O22" s="4"/>
      <c r="P22" s="4"/>
      <c r="Q22" s="4"/>
      <c r="R22" s="4"/>
    </row>
    <row r="23" spans="1:18" s="1" customFormat="1" ht="15" customHeight="1" x14ac:dyDescent="0.25">
      <c r="A23" s="287" t="s">
        <v>197</v>
      </c>
      <c r="B23" s="288"/>
      <c r="C23" s="288"/>
      <c r="D23" s="288"/>
      <c r="E23" s="289"/>
      <c r="F23" s="287" t="s">
        <v>198</v>
      </c>
      <c r="G23" s="288"/>
      <c r="H23" s="288"/>
      <c r="I23" s="288"/>
      <c r="J23" s="289"/>
      <c r="N23" s="150"/>
      <c r="O23" s="150"/>
      <c r="P23" s="150"/>
      <c r="Q23" s="150"/>
      <c r="R23" s="150"/>
    </row>
    <row r="24" spans="1:18" s="108" customFormat="1" ht="18.75" customHeight="1" x14ac:dyDescent="0.25">
      <c r="A24" s="270" t="s">
        <v>407</v>
      </c>
      <c r="B24" s="271"/>
      <c r="C24" s="271"/>
      <c r="D24" s="271"/>
      <c r="E24" s="272"/>
      <c r="F24" s="273">
        <v>44468</v>
      </c>
      <c r="G24" s="274"/>
      <c r="H24" s="274"/>
      <c r="I24" s="274"/>
      <c r="J24" s="275"/>
      <c r="N24" s="176"/>
      <c r="O24" s="176"/>
      <c r="P24" s="176"/>
      <c r="Q24" s="176"/>
      <c r="R24" s="176"/>
    </row>
    <row r="25" spans="1:18" ht="15" customHeight="1" x14ac:dyDescent="0.25">
      <c r="A25" s="276" t="s">
        <v>832</v>
      </c>
      <c r="B25" s="236"/>
      <c r="C25" s="236"/>
      <c r="D25" s="236"/>
      <c r="E25" s="236"/>
      <c r="F25" s="236"/>
      <c r="G25" s="236"/>
      <c r="H25" s="236"/>
      <c r="I25" s="236"/>
      <c r="J25" s="237"/>
      <c r="N25" s="4"/>
      <c r="O25" s="4"/>
      <c r="P25" s="4"/>
      <c r="Q25" s="4"/>
      <c r="R25" s="4"/>
    </row>
    <row r="26" spans="1:18" ht="15" customHeight="1" x14ac:dyDescent="0.25">
      <c r="A26" s="243" t="s">
        <v>523</v>
      </c>
      <c r="B26" s="244"/>
      <c r="C26" s="244"/>
      <c r="D26" s="244"/>
      <c r="E26" s="245"/>
      <c r="F26" s="243" t="s">
        <v>525</v>
      </c>
      <c r="G26" s="244"/>
      <c r="H26" s="244"/>
      <c r="I26" s="244"/>
      <c r="J26" s="245"/>
      <c r="N26" s="4"/>
      <c r="O26" s="4"/>
      <c r="P26" s="4"/>
      <c r="Q26" s="4"/>
      <c r="R26" s="4"/>
    </row>
    <row r="27" spans="1:18" ht="15" customHeight="1" x14ac:dyDescent="0.25">
      <c r="A27" s="256" t="s">
        <v>930</v>
      </c>
      <c r="B27" s="257"/>
      <c r="C27" s="257"/>
      <c r="D27" s="257"/>
      <c r="E27" s="258"/>
      <c r="F27" s="246" t="s">
        <v>931</v>
      </c>
      <c r="G27" s="259"/>
      <c r="H27" s="259"/>
      <c r="I27" s="259"/>
      <c r="J27" s="260"/>
      <c r="N27" s="233"/>
      <c r="O27" s="233"/>
      <c r="P27" s="233"/>
      <c r="Q27" s="233"/>
      <c r="R27" s="233"/>
    </row>
    <row r="28" spans="1:18" ht="15" customHeight="1" x14ac:dyDescent="0.25">
      <c r="A28" s="251" t="s">
        <v>463</v>
      </c>
      <c r="B28" s="252"/>
      <c r="C28" s="253"/>
      <c r="D28" s="251" t="s">
        <v>524</v>
      </c>
      <c r="E28" s="252"/>
      <c r="F28" s="252"/>
      <c r="G28" s="252"/>
      <c r="H28" s="252"/>
      <c r="I28" s="252"/>
      <c r="J28" s="253"/>
      <c r="N28" s="4"/>
      <c r="O28" s="4"/>
      <c r="P28" s="4"/>
      <c r="Q28" s="4"/>
      <c r="R28" s="4"/>
    </row>
    <row r="29" spans="1:18" ht="15" customHeight="1" x14ac:dyDescent="0.25">
      <c r="A29" s="246" t="s">
        <v>932</v>
      </c>
      <c r="B29" s="247"/>
      <c r="C29" s="248"/>
      <c r="D29" s="261" t="s">
        <v>933</v>
      </c>
      <c r="E29" s="247"/>
      <c r="F29" s="247"/>
      <c r="G29" s="247"/>
      <c r="H29" s="247"/>
      <c r="I29" s="247"/>
      <c r="J29" s="248"/>
      <c r="N29" s="4"/>
      <c r="O29" s="4"/>
      <c r="P29" s="4"/>
      <c r="Q29" s="4"/>
      <c r="R29" s="4"/>
    </row>
    <row r="30" spans="1:18" ht="15" customHeight="1" x14ac:dyDescent="0.25">
      <c r="A30" s="254" t="s">
        <v>842</v>
      </c>
      <c r="B30" s="255"/>
      <c r="C30" s="255"/>
      <c r="D30" s="255"/>
      <c r="E30" s="255"/>
      <c r="F30" s="236"/>
      <c r="G30" s="236"/>
      <c r="H30" s="236"/>
      <c r="I30" s="236"/>
      <c r="J30" s="237"/>
      <c r="N30" s="4"/>
      <c r="O30" s="4"/>
      <c r="P30" s="4"/>
      <c r="Q30" s="4"/>
      <c r="R30" s="4"/>
    </row>
    <row r="31" spans="1:18" ht="15" customHeight="1" x14ac:dyDescent="0.25">
      <c r="A31" s="243" t="s">
        <v>523</v>
      </c>
      <c r="B31" s="244"/>
      <c r="C31" s="244"/>
      <c r="D31" s="244"/>
      <c r="E31" s="244"/>
      <c r="F31" s="243" t="s">
        <v>525</v>
      </c>
      <c r="G31" s="244"/>
      <c r="H31" s="244"/>
      <c r="I31" s="244"/>
      <c r="J31" s="245"/>
    </row>
    <row r="32" spans="1:18" ht="15" customHeight="1" x14ac:dyDescent="0.25">
      <c r="A32" s="249" t="s">
        <v>934</v>
      </c>
      <c r="B32" s="250"/>
      <c r="C32" s="250"/>
      <c r="D32" s="250"/>
      <c r="E32" s="250"/>
      <c r="F32" s="249" t="s">
        <v>935</v>
      </c>
      <c r="G32" s="250"/>
      <c r="H32" s="250"/>
      <c r="I32" s="250"/>
      <c r="J32" s="269"/>
    </row>
    <row r="33" spans="1:21" ht="15" customHeight="1" x14ac:dyDescent="0.25">
      <c r="A33" s="243" t="s">
        <v>463</v>
      </c>
      <c r="B33" s="244"/>
      <c r="C33" s="245"/>
      <c r="D33" s="244" t="s">
        <v>524</v>
      </c>
      <c r="E33" s="244"/>
      <c r="F33" s="244"/>
      <c r="G33" s="244"/>
      <c r="H33" s="244"/>
      <c r="I33" s="244"/>
      <c r="J33" s="245"/>
    </row>
    <row r="34" spans="1:21" ht="15" customHeight="1" x14ac:dyDescent="0.25">
      <c r="A34" s="246" t="s">
        <v>936</v>
      </c>
      <c r="B34" s="247"/>
      <c r="C34" s="248"/>
      <c r="D34" s="268" t="s">
        <v>937</v>
      </c>
      <c r="E34" s="247"/>
      <c r="F34" s="247"/>
      <c r="G34" s="247"/>
      <c r="H34" s="247"/>
      <c r="I34" s="247"/>
      <c r="J34" s="248"/>
    </row>
    <row r="35" spans="1:21" x14ac:dyDescent="0.25">
      <c r="A35" s="234" t="s">
        <v>526</v>
      </c>
      <c r="B35" s="235"/>
      <c r="C35" s="235"/>
      <c r="D35" s="236"/>
      <c r="E35" s="236"/>
      <c r="F35" s="236"/>
      <c r="G35" s="236"/>
      <c r="H35" s="236"/>
      <c r="I35" s="236"/>
      <c r="J35" s="237"/>
    </row>
    <row r="36" spans="1:21" s="1" customFormat="1" ht="6" customHeight="1" x14ac:dyDescent="0.25">
      <c r="A36" s="78"/>
      <c r="B36" s="79"/>
      <c r="C36" s="79"/>
      <c r="D36" s="80"/>
      <c r="E36" s="80"/>
      <c r="F36" s="80"/>
      <c r="G36" s="80"/>
      <c r="H36" s="80"/>
      <c r="I36" s="80"/>
      <c r="J36" s="81"/>
    </row>
    <row r="37" spans="1:21" ht="12.75" customHeight="1" x14ac:dyDescent="0.25">
      <c r="A37" s="240" t="s">
        <v>926</v>
      </c>
      <c r="B37" s="241"/>
      <c r="C37" s="241"/>
      <c r="D37" s="241"/>
      <c r="E37" s="241"/>
      <c r="F37" s="241"/>
      <c r="G37" s="241"/>
      <c r="H37" s="241"/>
      <c r="I37" s="241"/>
      <c r="J37" s="242"/>
    </row>
    <row r="38" spans="1:21" x14ac:dyDescent="0.25">
      <c r="A38" s="240"/>
      <c r="B38" s="241"/>
      <c r="C38" s="241"/>
      <c r="D38" s="241"/>
      <c r="E38" s="241"/>
      <c r="F38" s="241"/>
      <c r="G38" s="241"/>
      <c r="H38" s="241"/>
      <c r="I38" s="241"/>
      <c r="J38" s="242"/>
      <c r="L38" s="4"/>
      <c r="M38" s="4"/>
      <c r="N38" s="4"/>
      <c r="O38" s="4"/>
      <c r="P38" s="4"/>
      <c r="Q38" s="4"/>
      <c r="R38" s="4"/>
      <c r="S38" s="4"/>
      <c r="T38" s="4"/>
      <c r="U38" s="4"/>
    </row>
    <row r="39" spans="1:21" x14ac:dyDescent="0.25">
      <c r="A39" s="240"/>
      <c r="B39" s="241"/>
      <c r="C39" s="241"/>
      <c r="D39" s="241"/>
      <c r="E39" s="241"/>
      <c r="F39" s="241"/>
      <c r="G39" s="241"/>
      <c r="H39" s="241"/>
      <c r="I39" s="241"/>
      <c r="J39" s="242"/>
      <c r="L39" s="4"/>
      <c r="M39" s="4"/>
      <c r="N39" s="4"/>
      <c r="O39" s="4"/>
      <c r="P39" s="4"/>
      <c r="Q39" s="4"/>
      <c r="R39" s="4"/>
      <c r="S39" s="4"/>
      <c r="T39" s="4"/>
      <c r="U39" s="4"/>
    </row>
    <row r="40" spans="1:21" ht="6" customHeight="1" x14ac:dyDescent="0.25">
      <c r="A40" s="240"/>
      <c r="B40" s="241"/>
      <c r="C40" s="241"/>
      <c r="D40" s="241"/>
      <c r="E40" s="241"/>
      <c r="F40" s="241"/>
      <c r="G40" s="241"/>
      <c r="H40" s="241"/>
      <c r="I40" s="241"/>
      <c r="J40" s="242"/>
      <c r="L40" s="4"/>
      <c r="M40" s="4"/>
      <c r="N40" s="4"/>
      <c r="O40" s="4"/>
      <c r="P40" s="4"/>
      <c r="Q40" s="4"/>
      <c r="R40" s="4"/>
      <c r="S40" s="4"/>
      <c r="T40" s="4"/>
      <c r="U40" s="4"/>
    </row>
    <row r="41" spans="1:21" ht="22.2" customHeight="1" x14ac:dyDescent="0.25">
      <c r="A41" s="240"/>
      <c r="B41" s="241"/>
      <c r="C41" s="241"/>
      <c r="D41" s="241"/>
      <c r="E41" s="241"/>
      <c r="F41" s="241"/>
      <c r="G41" s="241"/>
      <c r="H41" s="241"/>
      <c r="I41" s="241"/>
      <c r="J41" s="242"/>
      <c r="L41" s="238"/>
      <c r="M41" s="238"/>
      <c r="N41" s="238"/>
      <c r="O41" s="238"/>
      <c r="P41" s="238"/>
      <c r="Q41" s="238"/>
      <c r="R41" s="238"/>
      <c r="S41" s="238"/>
      <c r="T41" s="238"/>
      <c r="U41" s="4"/>
    </row>
    <row r="42" spans="1:21" ht="12" customHeight="1" x14ac:dyDescent="0.25">
      <c r="A42" s="240"/>
      <c r="B42" s="241"/>
      <c r="C42" s="241"/>
      <c r="D42" s="241"/>
      <c r="E42" s="241"/>
      <c r="F42" s="241"/>
      <c r="G42" s="241"/>
      <c r="H42" s="241"/>
      <c r="I42" s="241"/>
      <c r="J42" s="242"/>
      <c r="L42" s="238"/>
      <c r="M42" s="238"/>
      <c r="N42" s="238"/>
      <c r="O42" s="238"/>
      <c r="P42" s="238"/>
      <c r="Q42" s="238"/>
      <c r="R42" s="238"/>
      <c r="S42" s="238"/>
      <c r="T42" s="238"/>
      <c r="U42" s="4"/>
    </row>
    <row r="43" spans="1:21" ht="12.75" customHeight="1" x14ac:dyDescent="0.25">
      <c r="A43" s="240"/>
      <c r="B43" s="241"/>
      <c r="C43" s="241"/>
      <c r="D43" s="241"/>
      <c r="E43" s="241"/>
      <c r="F43" s="241"/>
      <c r="G43" s="241"/>
      <c r="H43" s="241"/>
      <c r="I43" s="241"/>
      <c r="J43" s="242"/>
      <c r="L43" s="238"/>
      <c r="M43" s="238"/>
      <c r="N43" s="238"/>
      <c r="O43" s="238"/>
      <c r="P43" s="238"/>
      <c r="Q43" s="238"/>
      <c r="R43" s="238"/>
      <c r="S43" s="238"/>
      <c r="T43" s="238"/>
      <c r="U43" s="4"/>
    </row>
    <row r="44" spans="1:21" ht="12.75" customHeight="1" x14ac:dyDescent="0.25">
      <c r="A44" s="240"/>
      <c r="B44" s="241"/>
      <c r="C44" s="241"/>
      <c r="D44" s="241"/>
      <c r="E44" s="241"/>
      <c r="F44" s="241"/>
      <c r="G44" s="241"/>
      <c r="H44" s="241"/>
      <c r="I44" s="241"/>
      <c r="J44" s="242"/>
      <c r="L44" s="238"/>
      <c r="M44" s="238"/>
      <c r="N44" s="238"/>
      <c r="O44" s="238"/>
      <c r="P44" s="238"/>
      <c r="Q44" s="238"/>
      <c r="R44" s="238"/>
      <c r="S44" s="238"/>
      <c r="T44" s="238"/>
      <c r="U44" s="4"/>
    </row>
    <row r="45" spans="1:21" ht="6" customHeight="1" x14ac:dyDescent="0.25">
      <c r="A45" s="240"/>
      <c r="B45" s="241"/>
      <c r="C45" s="241"/>
      <c r="D45" s="241"/>
      <c r="E45" s="241"/>
      <c r="F45" s="241"/>
      <c r="G45" s="241"/>
      <c r="H45" s="241"/>
      <c r="I45" s="241"/>
      <c r="J45" s="242"/>
      <c r="L45" s="238"/>
      <c r="M45" s="238"/>
      <c r="N45" s="238"/>
      <c r="O45" s="238"/>
      <c r="P45" s="238"/>
      <c r="Q45" s="238"/>
      <c r="R45" s="238"/>
      <c r="S45" s="238"/>
      <c r="T45" s="238"/>
      <c r="U45" s="4"/>
    </row>
    <row r="46" spans="1:21" ht="12.75" customHeight="1" x14ac:dyDescent="0.25">
      <c r="A46" s="240"/>
      <c r="B46" s="241"/>
      <c r="C46" s="241"/>
      <c r="D46" s="241"/>
      <c r="E46" s="241"/>
      <c r="F46" s="241"/>
      <c r="G46" s="241"/>
      <c r="H46" s="241"/>
      <c r="I46" s="241"/>
      <c r="J46" s="242"/>
      <c r="L46" s="4"/>
      <c r="M46" s="4"/>
      <c r="N46" s="4"/>
      <c r="O46" s="4"/>
      <c r="P46" s="4"/>
      <c r="Q46" s="4"/>
      <c r="R46" s="4"/>
      <c r="S46" s="4"/>
      <c r="T46" s="4"/>
      <c r="U46" s="4"/>
    </row>
    <row r="47" spans="1:21" ht="12.75" customHeight="1" x14ac:dyDescent="0.25">
      <c r="A47" s="240"/>
      <c r="B47" s="241"/>
      <c r="C47" s="241"/>
      <c r="D47" s="241"/>
      <c r="E47" s="241"/>
      <c r="F47" s="241"/>
      <c r="G47" s="241"/>
      <c r="H47" s="241"/>
      <c r="I47" s="241"/>
      <c r="J47" s="242"/>
      <c r="L47" s="4"/>
      <c r="M47" s="4"/>
      <c r="N47" s="4"/>
      <c r="O47" s="4"/>
      <c r="P47" s="4"/>
      <c r="Q47" s="4"/>
      <c r="R47" s="4"/>
      <c r="S47" s="4"/>
      <c r="T47" s="4"/>
      <c r="U47" s="4"/>
    </row>
    <row r="48" spans="1:21" ht="12.75" customHeight="1" x14ac:dyDescent="0.25">
      <c r="A48" s="240"/>
      <c r="B48" s="241"/>
      <c r="C48" s="241"/>
      <c r="D48" s="241"/>
      <c r="E48" s="241"/>
      <c r="F48" s="241"/>
      <c r="G48" s="241"/>
      <c r="H48" s="241"/>
      <c r="I48" s="241"/>
      <c r="J48" s="242"/>
      <c r="L48" s="239"/>
      <c r="M48" s="239"/>
      <c r="N48" s="239"/>
      <c r="O48" s="239"/>
      <c r="P48" s="239"/>
      <c r="Q48" s="239"/>
      <c r="R48" s="239"/>
      <c r="S48" s="239"/>
      <c r="T48" s="239"/>
      <c r="U48" s="4"/>
    </row>
    <row r="49" spans="1:21" ht="12" customHeight="1" x14ac:dyDescent="0.25">
      <c r="A49" s="240"/>
      <c r="B49" s="241"/>
      <c r="C49" s="241"/>
      <c r="D49" s="241"/>
      <c r="E49" s="241"/>
      <c r="F49" s="241"/>
      <c r="G49" s="241"/>
      <c r="H49" s="241"/>
      <c r="I49" s="241"/>
      <c r="J49" s="242"/>
      <c r="L49" s="239"/>
      <c r="M49" s="239"/>
      <c r="N49" s="239"/>
      <c r="O49" s="239"/>
      <c r="P49" s="239"/>
      <c r="Q49" s="239"/>
      <c r="R49" s="239"/>
      <c r="S49" s="239"/>
      <c r="T49" s="239"/>
      <c r="U49" s="4"/>
    </row>
    <row r="50" spans="1:21" s="113" customFormat="1" ht="55.95" customHeight="1" x14ac:dyDescent="0.25">
      <c r="A50" s="240"/>
      <c r="B50" s="241"/>
      <c r="C50" s="241"/>
      <c r="D50" s="241"/>
      <c r="E50" s="241"/>
      <c r="F50" s="241"/>
      <c r="G50" s="241"/>
      <c r="H50" s="241"/>
      <c r="I50" s="241"/>
      <c r="J50" s="242"/>
      <c r="L50" s="239"/>
      <c r="M50" s="239"/>
      <c r="N50" s="239"/>
      <c r="O50" s="239"/>
      <c r="P50" s="239"/>
      <c r="Q50" s="239"/>
      <c r="R50" s="239"/>
      <c r="S50" s="239"/>
      <c r="T50" s="239"/>
      <c r="U50" s="197"/>
    </row>
    <row r="51" spans="1:21" ht="14.4" customHeight="1" x14ac:dyDescent="0.25">
      <c r="A51" s="117"/>
      <c r="B51" s="118"/>
      <c r="C51" s="118"/>
      <c r="D51" s="118"/>
      <c r="E51" s="118"/>
      <c r="F51" s="118"/>
      <c r="G51" s="118"/>
      <c r="H51" s="118"/>
      <c r="I51" s="118"/>
      <c r="J51" s="119"/>
    </row>
    <row r="52" spans="1:21" ht="12.75" customHeight="1" x14ac:dyDescent="0.25">
      <c r="A52" s="77"/>
      <c r="B52" s="77"/>
      <c r="C52" s="77"/>
      <c r="D52" s="77"/>
      <c r="E52" s="77"/>
      <c r="F52" s="77"/>
      <c r="G52" s="77"/>
      <c r="H52" s="77"/>
      <c r="I52" s="77"/>
      <c r="J52" s="77"/>
    </row>
    <row r="53" spans="1:21" ht="12.75" customHeight="1" x14ac:dyDescent="0.25">
      <c r="A53" s="70"/>
      <c r="B53" s="70"/>
      <c r="C53" s="70"/>
      <c r="D53" s="70"/>
      <c r="E53" s="70"/>
      <c r="F53" s="70"/>
      <c r="G53" s="70"/>
      <c r="H53" s="70"/>
      <c r="I53" s="70"/>
      <c r="J53" s="70"/>
    </row>
    <row r="60" spans="1:21" x14ac:dyDescent="0.25">
      <c r="H60" s="75"/>
    </row>
  </sheetData>
  <sheetProtection selectLockedCells="1"/>
  <mergeCells count="32">
    <mergeCell ref="A2:B6"/>
    <mergeCell ref="A34:C34"/>
    <mergeCell ref="D34:J34"/>
    <mergeCell ref="F32:J32"/>
    <mergeCell ref="A24:E24"/>
    <mergeCell ref="F24:J24"/>
    <mergeCell ref="A25:J25"/>
    <mergeCell ref="A8:J14"/>
    <mergeCell ref="A15:J15"/>
    <mergeCell ref="A16:J17"/>
    <mergeCell ref="A23:E23"/>
    <mergeCell ref="F23:J23"/>
    <mergeCell ref="A19:J20"/>
    <mergeCell ref="A33:C33"/>
    <mergeCell ref="D33:J33"/>
    <mergeCell ref="A26:E26"/>
    <mergeCell ref="F26:J26"/>
    <mergeCell ref="A32:E32"/>
    <mergeCell ref="A28:C28"/>
    <mergeCell ref="A30:J30"/>
    <mergeCell ref="A27:E27"/>
    <mergeCell ref="F27:J27"/>
    <mergeCell ref="D28:J28"/>
    <mergeCell ref="D29:J29"/>
    <mergeCell ref="N27:R27"/>
    <mergeCell ref="A35:J35"/>
    <mergeCell ref="L41:T45"/>
    <mergeCell ref="L48:T50"/>
    <mergeCell ref="A37:J50"/>
    <mergeCell ref="A31:E31"/>
    <mergeCell ref="F31:J31"/>
    <mergeCell ref="A29:C29"/>
  </mergeCells>
  <phoneticPr fontId="2" type="noConversion"/>
  <dataValidations xWindow="126" yWindow="613" count="8">
    <dataValidation type="textLength" allowBlank="1" showInputMessage="1" showErrorMessage="1" sqref="A32:J32" xr:uid="{00000000-0002-0000-0000-000000000000}">
      <formula1>1</formula1>
      <formula2>30</formula2>
    </dataValidation>
    <dataValidation allowBlank="1" showInputMessage="1" showErrorMessage="1" prompt="Enter phone number in xxx-xxx-xxxx format." sqref="A30" xr:uid="{00000000-0002-0000-0000-000001000000}"/>
    <dataValidation allowBlank="1" showErrorMessage="1" sqref="D34:J34" xr:uid="{53C9FDBA-1D2B-4B11-8467-ABFB90CEB375}"/>
    <dataValidation allowBlank="1" showErrorMessage="1" prompt="Enter phone number in xxx-xxx-xxxx format." sqref="C29 C34" xr:uid="{00000000-0002-0000-0000-000003000000}"/>
    <dataValidation allowBlank="1" showErrorMessage="1" prompt="Enter fax number in xxx-xxx-xxxx format." sqref="D29:J29" xr:uid="{D1D3EA2A-B87B-413B-80DE-BA7D08A78C83}"/>
    <dataValidation type="list" allowBlank="1" showInputMessage="1" showErrorMessage="1" prompt="Select your county from the drop down list." sqref="A24:E24" xr:uid="{00000000-0002-0000-0000-000005000000}">
      <formula1>Counties</formula1>
    </dataValidation>
    <dataValidation showInputMessage="1" showErrorMessage="1" prompt="Enter in MM/DD/YYYY format." sqref="F24:J24" xr:uid="{00000000-0002-0000-0000-000006000000}"/>
    <dataValidation type="textLength" allowBlank="1" showInputMessage="1" showErrorMessage="1" prompt="Include area code." sqref="A29:B29 A34:B34" xr:uid="{00000000-0002-0000-0000-000007000000}">
      <formula1>1</formula1>
      <formula2>40</formula2>
    </dataValidation>
  </dataValidations>
  <hyperlinks>
    <hyperlink ref="D29" r:id="rId1" xr:uid="{40DBA4BB-BF10-4D35-BC42-3FA0D9F78736}"/>
    <hyperlink ref="D34" r:id="rId2" xr:uid="{D3114872-F62B-4295-99FB-E46D253685B9}"/>
  </hyperlinks>
  <printOptions horizontalCentered="1"/>
  <pageMargins left="0.5" right="0.5" top="0.5" bottom="0.5" header="0.5" footer="0.25"/>
  <pageSetup scale="98" orientation="portrait" horizontalDpi="300" verticalDpi="300" copies="2" r:id="rId3"/>
  <headerFooter>
    <oddFooter>&amp;L&amp;F</oddFooter>
  </headerFooter>
  <rowBreaks count="1" manualBreakCount="1">
    <brk id="53" max="1638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68"/>
  <sheetViews>
    <sheetView showGridLines="0" zoomScaleNormal="100" workbookViewId="0">
      <pane ySplit="4" topLeftCell="A11" activePane="bottomLeft" state="frozen"/>
      <selection pane="bottomLeft" activeCell="I10" sqref="I10:J10"/>
    </sheetView>
  </sheetViews>
  <sheetFormatPr defaultRowHeight="13.2" x14ac:dyDescent="0.25"/>
  <cols>
    <col min="1" max="1" width="3.6640625" style="39" customWidth="1"/>
    <col min="2" max="4" width="9.109375" style="39"/>
    <col min="5" max="5" width="6.44140625" style="39" customWidth="1"/>
    <col min="6" max="6" width="6.33203125" style="39" customWidth="1"/>
    <col min="7" max="14" width="5.6640625" style="39" customWidth="1"/>
    <col min="15" max="15" width="6.6640625" style="39" customWidth="1"/>
    <col min="16" max="24" width="8.88671875" style="39"/>
  </cols>
  <sheetData>
    <row r="1" spans="1:24" s="198" customFormat="1" ht="15.75" customHeight="1" x14ac:dyDescent="0.25">
      <c r="A1" s="322" t="s">
        <v>843</v>
      </c>
      <c r="B1" s="323"/>
      <c r="C1" s="323"/>
      <c r="D1" s="323"/>
      <c r="E1" s="323"/>
      <c r="F1" s="323"/>
      <c r="G1" s="323"/>
      <c r="H1" s="323"/>
      <c r="I1" s="323"/>
      <c r="J1" s="323"/>
      <c r="K1" s="320" t="str">
        <f>'CONTACT INFORMATION'!$A$24</f>
        <v>Alameda</v>
      </c>
      <c r="L1" s="320"/>
      <c r="M1" s="320"/>
      <c r="N1" s="320"/>
      <c r="O1" s="321"/>
      <c r="P1" s="210"/>
      <c r="Q1" s="210"/>
      <c r="R1" s="210"/>
      <c r="S1" s="210"/>
      <c r="T1" s="210"/>
      <c r="U1" s="210"/>
      <c r="V1" s="210"/>
      <c r="W1" s="210"/>
      <c r="X1" s="210"/>
    </row>
    <row r="2" spans="1:24" s="1" customFormat="1" ht="8.25" customHeight="1" x14ac:dyDescent="0.3">
      <c r="A2" s="147"/>
      <c r="B2" s="147"/>
      <c r="C2" s="147"/>
      <c r="D2" s="147"/>
      <c r="E2" s="147"/>
      <c r="F2" s="147"/>
      <c r="G2" s="147"/>
      <c r="H2" s="147"/>
      <c r="I2" s="147"/>
      <c r="J2" s="147"/>
      <c r="K2" s="148"/>
      <c r="L2" s="148"/>
      <c r="M2" s="148"/>
      <c r="N2" s="148"/>
      <c r="O2" s="148"/>
      <c r="P2" s="211"/>
      <c r="Q2" s="211"/>
      <c r="R2" s="211"/>
      <c r="S2" s="211"/>
      <c r="T2" s="211"/>
      <c r="U2" s="211"/>
      <c r="V2" s="211"/>
      <c r="W2" s="211"/>
      <c r="X2" s="211"/>
    </row>
    <row r="3" spans="1:24" s="1" customFormat="1" ht="15.75" customHeight="1" x14ac:dyDescent="0.25">
      <c r="A3" s="325" t="s">
        <v>844</v>
      </c>
      <c r="B3" s="326"/>
      <c r="C3" s="326"/>
      <c r="D3" s="326"/>
      <c r="E3" s="326"/>
      <c r="F3" s="326"/>
      <c r="G3" s="326"/>
      <c r="H3" s="326"/>
      <c r="I3" s="326"/>
      <c r="J3" s="326"/>
      <c r="K3" s="326"/>
      <c r="L3" s="326"/>
      <c r="M3" s="326"/>
      <c r="N3" s="326"/>
      <c r="O3" s="327"/>
      <c r="P3" s="211"/>
      <c r="Q3" s="211"/>
      <c r="R3" s="211"/>
      <c r="S3" s="211"/>
      <c r="T3" s="211"/>
      <c r="U3" s="211"/>
      <c r="V3" s="211"/>
      <c r="W3" s="211"/>
      <c r="X3" s="211"/>
    </row>
    <row r="4" spans="1:24" s="42" customFormat="1" ht="59.25" customHeight="1" x14ac:dyDescent="0.25">
      <c r="A4" s="329" t="s">
        <v>923</v>
      </c>
      <c r="B4" s="330"/>
      <c r="C4" s="330"/>
      <c r="D4" s="330"/>
      <c r="E4" s="330"/>
      <c r="F4" s="330"/>
      <c r="G4" s="330"/>
      <c r="H4" s="330"/>
      <c r="I4" s="330"/>
      <c r="J4" s="330"/>
      <c r="K4" s="330"/>
      <c r="L4" s="330"/>
      <c r="M4" s="330"/>
      <c r="N4" s="330"/>
      <c r="O4" s="331"/>
      <c r="P4" s="212"/>
      <c r="Q4" s="212"/>
      <c r="R4" s="212"/>
      <c r="S4" s="212"/>
      <c r="T4" s="212"/>
      <c r="U4" s="212"/>
      <c r="V4" s="212"/>
      <c r="W4" s="212"/>
      <c r="X4" s="212"/>
    </row>
    <row r="5" spans="1:24" s="44" customFormat="1" ht="12.75" customHeight="1" x14ac:dyDescent="0.25">
      <c r="A5" s="89"/>
      <c r="B5" s="71"/>
      <c r="C5" s="71"/>
      <c r="D5" s="71"/>
      <c r="E5" s="71"/>
      <c r="F5" s="71"/>
      <c r="G5" s="71"/>
      <c r="H5" s="71"/>
      <c r="I5" s="71"/>
      <c r="J5" s="71"/>
      <c r="K5" s="71"/>
      <c r="L5" s="71"/>
      <c r="M5" s="71"/>
      <c r="N5" s="71"/>
      <c r="O5" s="90"/>
      <c r="P5" s="213"/>
      <c r="Q5" s="213"/>
      <c r="R5" s="213"/>
      <c r="S5" s="213"/>
      <c r="T5" s="213"/>
      <c r="U5" s="213"/>
      <c r="V5" s="213"/>
      <c r="W5" s="213"/>
      <c r="X5" s="213"/>
    </row>
    <row r="6" spans="1:24" s="44" customFormat="1" ht="12.75" customHeight="1" x14ac:dyDescent="0.25">
      <c r="A6" s="89"/>
      <c r="B6" s="71"/>
      <c r="C6" s="324"/>
      <c r="D6" s="324"/>
      <c r="E6" s="324"/>
      <c r="F6" s="324"/>
      <c r="G6" s="324"/>
      <c r="H6" s="324"/>
      <c r="I6" s="324"/>
      <c r="J6" s="324"/>
      <c r="K6" s="324"/>
      <c r="L6" s="324"/>
      <c r="M6" s="71"/>
      <c r="N6" s="71"/>
      <c r="O6" s="90"/>
      <c r="P6" s="213"/>
      <c r="Q6" s="213"/>
      <c r="R6" s="213"/>
      <c r="S6" s="213"/>
      <c r="T6" s="213"/>
      <c r="U6" s="213"/>
      <c r="V6" s="213"/>
      <c r="W6" s="213"/>
      <c r="X6" s="213"/>
    </row>
    <row r="7" spans="1:24" s="14" customFormat="1" ht="17.25" customHeight="1" x14ac:dyDescent="0.25">
      <c r="A7" s="93"/>
      <c r="B7" s="94"/>
      <c r="C7" s="94"/>
      <c r="D7" s="328" t="s">
        <v>813</v>
      </c>
      <c r="E7" s="328"/>
      <c r="F7" s="328"/>
      <c r="G7" s="328"/>
      <c r="H7" s="328"/>
      <c r="I7" s="328"/>
      <c r="J7" s="328"/>
      <c r="K7" s="328"/>
      <c r="L7" s="328"/>
      <c r="M7" s="207"/>
      <c r="N7" s="94"/>
      <c r="O7" s="95"/>
      <c r="P7" s="214"/>
      <c r="Q7" s="214"/>
      <c r="R7" s="214"/>
      <c r="S7" s="214"/>
      <c r="T7" s="214"/>
      <c r="U7" s="214"/>
      <c r="V7" s="214"/>
      <c r="W7" s="214"/>
      <c r="X7" s="214"/>
    </row>
    <row r="8" spans="1:24" s="41" customFormat="1" ht="14.4" x14ac:dyDescent="0.3">
      <c r="A8" s="96"/>
      <c r="B8" s="138"/>
      <c r="C8" s="136"/>
      <c r="D8" s="177"/>
      <c r="E8" s="302" t="s">
        <v>885</v>
      </c>
      <c r="F8" s="302"/>
      <c r="G8" s="302"/>
      <c r="H8" s="302"/>
      <c r="I8" s="295">
        <v>0</v>
      </c>
      <c r="J8" s="296"/>
      <c r="K8" s="137"/>
      <c r="L8" s="137"/>
      <c r="M8" s="137"/>
      <c r="N8" s="178"/>
      <c r="O8" s="179"/>
      <c r="P8" s="215"/>
      <c r="Q8" s="215"/>
      <c r="R8" s="215"/>
      <c r="S8" s="215"/>
      <c r="T8" s="215"/>
      <c r="U8" s="215"/>
      <c r="V8" s="215"/>
      <c r="W8" s="215"/>
      <c r="X8" s="215"/>
    </row>
    <row r="9" spans="1:24" s="41" customFormat="1" ht="14.4" x14ac:dyDescent="0.3">
      <c r="A9" s="96"/>
      <c r="B9" s="138"/>
      <c r="C9" s="136"/>
      <c r="D9" s="177"/>
      <c r="E9" s="316" t="s">
        <v>886</v>
      </c>
      <c r="F9" s="316"/>
      <c r="G9" s="316"/>
      <c r="H9" s="316"/>
      <c r="I9" s="293">
        <v>37</v>
      </c>
      <c r="J9" s="294"/>
      <c r="K9" s="137"/>
      <c r="L9" s="137"/>
      <c r="M9" s="137"/>
      <c r="N9" s="178"/>
      <c r="O9" s="179"/>
      <c r="P9" s="215"/>
      <c r="Q9" s="215"/>
      <c r="R9" s="215"/>
      <c r="S9" s="215"/>
      <c r="T9" s="215"/>
      <c r="U9" s="215"/>
      <c r="V9" s="215"/>
      <c r="W9" s="215"/>
      <c r="X9" s="215"/>
    </row>
    <row r="10" spans="1:24" s="41" customFormat="1" ht="14.4" x14ac:dyDescent="0.3">
      <c r="A10" s="96"/>
      <c r="B10" s="138"/>
      <c r="C10" s="136"/>
      <c r="D10" s="177"/>
      <c r="E10" s="302" t="s">
        <v>887</v>
      </c>
      <c r="F10" s="318"/>
      <c r="G10" s="318"/>
      <c r="H10" s="319"/>
      <c r="I10" s="295">
        <v>438</v>
      </c>
      <c r="J10" s="296"/>
      <c r="K10" s="137"/>
      <c r="L10" s="137"/>
      <c r="M10" s="137"/>
      <c r="N10" s="178"/>
      <c r="O10" s="179"/>
      <c r="P10" s="215"/>
      <c r="Q10" s="215"/>
      <c r="R10" s="215"/>
      <c r="S10" s="215"/>
      <c r="T10" s="215"/>
      <c r="U10" s="215"/>
      <c r="V10" s="215"/>
      <c r="W10" s="215"/>
      <c r="X10" s="215"/>
    </row>
    <row r="11" spans="1:24" s="41" customFormat="1" ht="14.4" x14ac:dyDescent="0.3">
      <c r="A11" s="96"/>
      <c r="B11" s="138"/>
      <c r="C11" s="136"/>
      <c r="D11" s="177"/>
      <c r="E11" s="160"/>
      <c r="F11" s="160"/>
      <c r="G11" s="160"/>
      <c r="H11" s="160"/>
      <c r="I11" s="180"/>
      <c r="J11" s="180"/>
      <c r="K11" s="137"/>
      <c r="L11" s="137"/>
      <c r="M11" s="137"/>
      <c r="N11" s="178"/>
      <c r="O11" s="179"/>
      <c r="P11" s="215"/>
      <c r="Q11" s="215"/>
      <c r="R11" s="215"/>
      <c r="S11" s="215"/>
      <c r="T11" s="215"/>
      <c r="U11" s="215"/>
      <c r="V11" s="215"/>
      <c r="W11" s="215"/>
      <c r="X11" s="215"/>
    </row>
    <row r="12" spans="1:24" ht="13.8" x14ac:dyDescent="0.25">
      <c r="A12" s="91"/>
      <c r="B12" s="45"/>
      <c r="C12" s="45"/>
      <c r="D12" s="45"/>
      <c r="E12" s="137"/>
      <c r="F12" s="137"/>
      <c r="G12" s="137"/>
      <c r="H12" s="137"/>
      <c r="I12" s="97"/>
      <c r="J12" s="97"/>
      <c r="K12" s="97"/>
      <c r="L12" s="97"/>
      <c r="M12" s="97"/>
      <c r="N12" s="97"/>
      <c r="O12" s="98"/>
    </row>
    <row r="13" spans="1:24" s="42" customFormat="1" ht="17.25" customHeight="1" x14ac:dyDescent="0.25">
      <c r="A13" s="166"/>
      <c r="B13" s="99"/>
      <c r="C13" s="99"/>
      <c r="D13" s="317" t="s">
        <v>874</v>
      </c>
      <c r="E13" s="317"/>
      <c r="F13" s="317"/>
      <c r="G13" s="317"/>
      <c r="H13" s="317"/>
      <c r="I13" s="317"/>
      <c r="J13" s="317"/>
      <c r="K13" s="317"/>
      <c r="L13" s="317"/>
      <c r="M13" s="100"/>
      <c r="N13" s="100"/>
      <c r="O13" s="101"/>
      <c r="P13" s="212"/>
      <c r="Q13" s="212"/>
      <c r="R13" s="212"/>
      <c r="S13" s="212"/>
      <c r="T13" s="212"/>
      <c r="U13" s="212"/>
      <c r="V13" s="212"/>
      <c r="W13" s="212"/>
      <c r="X13" s="212"/>
    </row>
    <row r="14" spans="1:24" ht="13.8" x14ac:dyDescent="0.25">
      <c r="A14" s="91"/>
      <c r="B14" s="45"/>
      <c r="C14" s="128"/>
      <c r="D14" s="128"/>
      <c r="E14" s="302" t="s">
        <v>814</v>
      </c>
      <c r="F14" s="302"/>
      <c r="G14" s="302"/>
      <c r="H14" s="302"/>
      <c r="I14" s="295">
        <v>736</v>
      </c>
      <c r="J14" s="296"/>
      <c r="K14" s="97"/>
      <c r="L14" s="97"/>
      <c r="M14" s="97"/>
      <c r="N14" s="97"/>
      <c r="O14" s="98"/>
    </row>
    <row r="15" spans="1:24" ht="13.8" x14ac:dyDescent="0.25">
      <c r="A15" s="91"/>
      <c r="B15" s="45"/>
      <c r="C15" s="128"/>
      <c r="D15" s="128"/>
      <c r="E15" s="301" t="s">
        <v>815</v>
      </c>
      <c r="F15" s="301"/>
      <c r="G15" s="301"/>
      <c r="H15" s="301"/>
      <c r="I15" s="293">
        <v>215</v>
      </c>
      <c r="J15" s="294"/>
      <c r="K15" s="97"/>
      <c r="L15" s="97"/>
      <c r="M15" s="97"/>
      <c r="N15" s="97"/>
      <c r="O15" s="98"/>
    </row>
    <row r="16" spans="1:24" ht="14.4" x14ac:dyDescent="0.3">
      <c r="A16" s="102"/>
      <c r="B16" s="45"/>
      <c r="C16" s="128"/>
      <c r="D16" s="128"/>
      <c r="E16" s="303" t="s">
        <v>827</v>
      </c>
      <c r="F16" s="303"/>
      <c r="G16" s="303"/>
      <c r="H16" s="303"/>
      <c r="I16" s="297">
        <v>951</v>
      </c>
      <c r="J16" s="298"/>
      <c r="K16" s="97"/>
      <c r="L16" s="97"/>
      <c r="M16" s="97"/>
      <c r="N16" s="97"/>
      <c r="O16" s="98"/>
    </row>
    <row r="17" spans="1:24" x14ac:dyDescent="0.25">
      <c r="A17" s="91"/>
      <c r="B17" s="45"/>
      <c r="C17" s="45"/>
      <c r="D17" s="45"/>
      <c r="E17" s="97"/>
      <c r="F17" s="97"/>
      <c r="G17" s="97"/>
      <c r="H17" s="97"/>
      <c r="I17" s="97"/>
      <c r="J17" s="97"/>
      <c r="K17" s="97"/>
      <c r="L17" s="97"/>
      <c r="M17" s="97"/>
      <c r="N17" s="97"/>
      <c r="O17" s="98"/>
    </row>
    <row r="18" spans="1:24" x14ac:dyDescent="0.25">
      <c r="A18" s="91"/>
      <c r="B18" s="45"/>
      <c r="C18" s="45"/>
      <c r="D18" s="45"/>
      <c r="E18" s="97"/>
      <c r="F18" s="97"/>
      <c r="G18" s="97"/>
      <c r="H18" s="97"/>
      <c r="I18" s="97"/>
      <c r="J18" s="97"/>
      <c r="K18" s="97"/>
      <c r="L18" s="97"/>
      <c r="M18" s="97"/>
      <c r="N18" s="97"/>
      <c r="O18" s="98"/>
    </row>
    <row r="19" spans="1:24" s="42" customFormat="1" ht="17.25" customHeight="1" x14ac:dyDescent="0.25">
      <c r="A19" s="166"/>
      <c r="B19" s="99"/>
      <c r="C19" s="99"/>
      <c r="D19" s="204" t="s">
        <v>850</v>
      </c>
      <c r="E19" s="204"/>
      <c r="F19" s="204"/>
      <c r="G19" s="204"/>
      <c r="H19" s="204"/>
      <c r="I19" s="204"/>
      <c r="J19" s="204"/>
      <c r="K19" s="204"/>
      <c r="L19" s="100"/>
      <c r="M19" s="100"/>
      <c r="N19" s="100"/>
      <c r="O19" s="101"/>
      <c r="P19" s="212"/>
      <c r="Q19" s="212"/>
      <c r="R19" s="212"/>
      <c r="S19" s="212"/>
      <c r="T19" s="212"/>
      <c r="U19" s="212"/>
      <c r="V19" s="212"/>
      <c r="W19" s="212"/>
      <c r="X19" s="212"/>
    </row>
    <row r="20" spans="1:24" ht="13.8" x14ac:dyDescent="0.25">
      <c r="A20" s="102"/>
      <c r="B20" s="128"/>
      <c r="C20" s="128"/>
      <c r="D20" s="128"/>
      <c r="E20" s="302" t="s">
        <v>817</v>
      </c>
      <c r="F20" s="302"/>
      <c r="G20" s="302"/>
      <c r="H20" s="302"/>
      <c r="I20" s="295">
        <v>257</v>
      </c>
      <c r="J20" s="296"/>
      <c r="K20" s="97"/>
      <c r="L20" s="97"/>
      <c r="M20" s="97"/>
      <c r="N20" s="97"/>
      <c r="O20" s="98"/>
    </row>
    <row r="21" spans="1:24" ht="13.8" x14ac:dyDescent="0.25">
      <c r="A21" s="102"/>
      <c r="B21" s="128"/>
      <c r="C21" s="128"/>
      <c r="D21" s="128"/>
      <c r="E21" s="301" t="s">
        <v>818</v>
      </c>
      <c r="F21" s="301"/>
      <c r="G21" s="301"/>
      <c r="H21" s="301"/>
      <c r="I21" s="314">
        <v>70</v>
      </c>
      <c r="J21" s="315"/>
      <c r="K21" s="97"/>
      <c r="L21" s="97"/>
      <c r="M21" s="97"/>
      <c r="N21" s="97"/>
      <c r="O21" s="98"/>
    </row>
    <row r="22" spans="1:24" ht="13.8" x14ac:dyDescent="0.25">
      <c r="A22" s="102"/>
      <c r="B22" s="128"/>
      <c r="C22" s="128"/>
      <c r="D22" s="128"/>
      <c r="E22" s="302" t="s">
        <v>819</v>
      </c>
      <c r="F22" s="302"/>
      <c r="G22" s="302"/>
      <c r="H22" s="302"/>
      <c r="I22" s="295">
        <v>558</v>
      </c>
      <c r="J22" s="296"/>
      <c r="K22" s="97"/>
      <c r="L22" s="97"/>
      <c r="M22" s="97"/>
      <c r="N22" s="97"/>
      <c r="O22" s="98"/>
    </row>
    <row r="23" spans="1:24" ht="13.8" x14ac:dyDescent="0.25">
      <c r="A23" s="102"/>
      <c r="B23" s="128"/>
      <c r="C23" s="128"/>
      <c r="D23" s="128"/>
      <c r="E23" s="301" t="s">
        <v>820</v>
      </c>
      <c r="F23" s="301"/>
      <c r="G23" s="301"/>
      <c r="H23" s="301"/>
      <c r="I23" s="293">
        <v>31</v>
      </c>
      <c r="J23" s="294"/>
      <c r="K23" s="97"/>
      <c r="L23" s="97"/>
      <c r="M23" s="97"/>
      <c r="N23" s="97"/>
      <c r="O23" s="98"/>
    </row>
    <row r="24" spans="1:24" ht="13.8" x14ac:dyDescent="0.25">
      <c r="A24" s="102"/>
      <c r="B24" s="128"/>
      <c r="C24" s="128"/>
      <c r="D24" s="128"/>
      <c r="E24" s="302" t="s">
        <v>821</v>
      </c>
      <c r="F24" s="302"/>
      <c r="G24" s="302"/>
      <c r="H24" s="302"/>
      <c r="I24" s="295">
        <v>8</v>
      </c>
      <c r="J24" s="296"/>
      <c r="K24" s="97"/>
      <c r="L24" s="97"/>
      <c r="M24" s="97"/>
      <c r="N24" s="97"/>
      <c r="O24" s="98"/>
    </row>
    <row r="25" spans="1:24" ht="13.8" x14ac:dyDescent="0.25">
      <c r="A25" s="102"/>
      <c r="B25" s="128"/>
      <c r="C25" s="128"/>
      <c r="D25" s="128"/>
      <c r="E25" s="301" t="s">
        <v>822</v>
      </c>
      <c r="F25" s="301"/>
      <c r="G25" s="301"/>
      <c r="H25" s="301"/>
      <c r="I25" s="293">
        <v>2</v>
      </c>
      <c r="J25" s="294"/>
      <c r="K25" s="97"/>
      <c r="L25" s="97"/>
      <c r="M25" s="97"/>
      <c r="N25" s="97"/>
      <c r="O25" s="98"/>
    </row>
    <row r="26" spans="1:24" ht="13.8" x14ac:dyDescent="0.25">
      <c r="A26" s="102"/>
      <c r="B26" s="128"/>
      <c r="C26" s="128"/>
      <c r="D26" s="128"/>
      <c r="E26" s="302" t="s">
        <v>823</v>
      </c>
      <c r="F26" s="302"/>
      <c r="G26" s="302"/>
      <c r="H26" s="302"/>
      <c r="I26" s="295">
        <v>25</v>
      </c>
      <c r="J26" s="296"/>
      <c r="K26" s="97"/>
      <c r="L26" s="97"/>
      <c r="M26" s="97"/>
      <c r="N26" s="97"/>
      <c r="O26" s="98"/>
    </row>
    <row r="27" spans="1:24" ht="14.4" x14ac:dyDescent="0.3">
      <c r="A27" s="102"/>
      <c r="B27" s="128"/>
      <c r="C27" s="128"/>
      <c r="D27" s="128"/>
      <c r="E27" s="303" t="s">
        <v>827</v>
      </c>
      <c r="F27" s="303"/>
      <c r="G27" s="303"/>
      <c r="H27" s="303"/>
      <c r="I27" s="297">
        <f>SUM(I20:J26)</f>
        <v>951</v>
      </c>
      <c r="J27" s="298"/>
      <c r="K27" s="132"/>
      <c r="L27" s="132"/>
      <c r="M27" s="132"/>
      <c r="N27" s="132"/>
      <c r="O27" s="140"/>
    </row>
    <row r="28" spans="1:24" s="1" customFormat="1" ht="14.4" x14ac:dyDescent="0.3">
      <c r="A28" s="102"/>
      <c r="B28" s="139"/>
      <c r="C28" s="128"/>
      <c r="D28" s="128"/>
      <c r="E28" s="128"/>
      <c r="F28" s="141"/>
      <c r="G28" s="141"/>
      <c r="H28" s="141"/>
      <c r="I28" s="141"/>
      <c r="J28" s="141"/>
      <c r="K28" s="141"/>
      <c r="L28" s="141"/>
      <c r="M28" s="141"/>
      <c r="N28" s="141"/>
      <c r="O28" s="142"/>
      <c r="P28" s="211"/>
      <c r="Q28" s="211"/>
      <c r="R28" s="211"/>
      <c r="S28" s="211"/>
      <c r="T28" s="211"/>
      <c r="U28" s="211"/>
      <c r="V28" s="211"/>
      <c r="W28" s="211"/>
      <c r="X28" s="211"/>
    </row>
    <row r="29" spans="1:24" s="1" customFormat="1" ht="14.4" x14ac:dyDescent="0.3">
      <c r="A29" s="103"/>
      <c r="B29" s="143"/>
      <c r="C29" s="144"/>
      <c r="D29" s="144"/>
      <c r="E29" s="144"/>
      <c r="F29" s="145"/>
      <c r="G29" s="145"/>
      <c r="H29" s="145"/>
      <c r="I29" s="145"/>
      <c r="J29" s="145"/>
      <c r="K29" s="145"/>
      <c r="L29" s="145"/>
      <c r="M29" s="145"/>
      <c r="N29" s="145"/>
      <c r="O29" s="146"/>
      <c r="P29" s="211"/>
      <c r="Q29" s="211"/>
      <c r="R29" s="211"/>
      <c r="S29" s="211"/>
      <c r="T29" s="211"/>
      <c r="U29" s="211"/>
      <c r="V29" s="211"/>
      <c r="W29" s="211"/>
      <c r="X29" s="211"/>
    </row>
    <row r="30" spans="1:24" ht="14.4" customHeight="1" x14ac:dyDescent="0.25"/>
    <row r="31" spans="1:24" ht="14.1" customHeight="1" x14ac:dyDescent="0.25">
      <c r="A31" s="189" t="s">
        <v>888</v>
      </c>
    </row>
    <row r="32" spans="1:24" ht="14.1" customHeight="1" x14ac:dyDescent="0.25">
      <c r="A32" s="305"/>
      <c r="B32" s="306"/>
      <c r="C32" s="306"/>
      <c r="D32" s="306"/>
      <c r="E32" s="306"/>
      <c r="F32" s="306"/>
      <c r="G32" s="306"/>
      <c r="H32" s="306"/>
      <c r="I32" s="306"/>
      <c r="J32" s="306"/>
      <c r="K32" s="306"/>
      <c r="L32" s="306"/>
      <c r="M32" s="306"/>
      <c r="N32" s="306"/>
      <c r="O32" s="307"/>
    </row>
    <row r="33" spans="1:24" ht="14.1" customHeight="1" x14ac:dyDescent="0.25">
      <c r="A33" s="308"/>
      <c r="B33" s="309"/>
      <c r="C33" s="309"/>
      <c r="D33" s="309"/>
      <c r="E33" s="309"/>
      <c r="F33" s="309"/>
      <c r="G33" s="309"/>
      <c r="H33" s="309"/>
      <c r="I33" s="309"/>
      <c r="J33" s="309"/>
      <c r="K33" s="309"/>
      <c r="L33" s="309"/>
      <c r="M33" s="309"/>
      <c r="N33" s="309"/>
      <c r="O33" s="310"/>
    </row>
    <row r="34" spans="1:24" ht="14.1" customHeight="1" x14ac:dyDescent="0.25">
      <c r="A34" s="308"/>
      <c r="B34" s="309"/>
      <c r="C34" s="309"/>
      <c r="D34" s="309"/>
      <c r="E34" s="309"/>
      <c r="F34" s="309"/>
      <c r="G34" s="309"/>
      <c r="H34" s="309"/>
      <c r="I34" s="309"/>
      <c r="J34" s="309"/>
      <c r="K34" s="309"/>
      <c r="L34" s="309"/>
      <c r="M34" s="309"/>
      <c r="N34" s="309"/>
      <c r="O34" s="310"/>
    </row>
    <row r="35" spans="1:24" ht="14.1" customHeight="1" x14ac:dyDescent="0.25">
      <c r="A35" s="308"/>
      <c r="B35" s="309"/>
      <c r="C35" s="309"/>
      <c r="D35" s="309"/>
      <c r="E35" s="309"/>
      <c r="F35" s="309"/>
      <c r="G35" s="309"/>
      <c r="H35" s="309"/>
      <c r="I35" s="309"/>
      <c r="J35" s="309"/>
      <c r="K35" s="309"/>
      <c r="L35" s="309"/>
      <c r="M35" s="309"/>
      <c r="N35" s="309"/>
      <c r="O35" s="310"/>
    </row>
    <row r="36" spans="1:24" ht="14.1" customHeight="1" x14ac:dyDescent="0.25">
      <c r="A36" s="308"/>
      <c r="B36" s="309"/>
      <c r="C36" s="309"/>
      <c r="D36" s="309"/>
      <c r="E36" s="309"/>
      <c r="F36" s="309"/>
      <c r="G36" s="309"/>
      <c r="H36" s="309"/>
      <c r="I36" s="309"/>
      <c r="J36" s="309"/>
      <c r="K36" s="309"/>
      <c r="L36" s="309"/>
      <c r="M36" s="309"/>
      <c r="N36" s="309"/>
      <c r="O36" s="310"/>
    </row>
    <row r="37" spans="1:24" ht="14.1" customHeight="1" x14ac:dyDescent="0.25">
      <c r="A37" s="308"/>
      <c r="B37" s="309"/>
      <c r="C37" s="309"/>
      <c r="D37" s="309"/>
      <c r="E37" s="309"/>
      <c r="F37" s="309"/>
      <c r="G37" s="309"/>
      <c r="H37" s="309"/>
      <c r="I37" s="309"/>
      <c r="J37" s="309"/>
      <c r="K37" s="309"/>
      <c r="L37" s="309"/>
      <c r="M37" s="309"/>
      <c r="N37" s="309"/>
      <c r="O37" s="310"/>
    </row>
    <row r="38" spans="1:24" ht="14.1" customHeight="1" x14ac:dyDescent="0.25">
      <c r="A38" s="308"/>
      <c r="B38" s="309"/>
      <c r="C38" s="309"/>
      <c r="D38" s="309"/>
      <c r="E38" s="309"/>
      <c r="F38" s="309"/>
      <c r="G38" s="309"/>
      <c r="H38" s="309"/>
      <c r="I38" s="309"/>
      <c r="J38" s="309"/>
      <c r="K38" s="309"/>
      <c r="L38" s="309"/>
      <c r="M38" s="309"/>
      <c r="N38" s="309"/>
      <c r="O38" s="310"/>
    </row>
    <row r="39" spans="1:24" ht="14.1" customHeight="1" x14ac:dyDescent="0.25">
      <c r="A39" s="308"/>
      <c r="B39" s="309"/>
      <c r="C39" s="309"/>
      <c r="D39" s="309"/>
      <c r="E39" s="309"/>
      <c r="F39" s="309"/>
      <c r="G39" s="309"/>
      <c r="H39" s="309"/>
      <c r="I39" s="309"/>
      <c r="J39" s="309"/>
      <c r="K39" s="309"/>
      <c r="L39" s="309"/>
      <c r="M39" s="309"/>
      <c r="N39" s="309"/>
      <c r="O39" s="310"/>
    </row>
    <row r="40" spans="1:24" ht="14.1" customHeight="1" x14ac:dyDescent="0.25">
      <c r="A40" s="308"/>
      <c r="B40" s="309"/>
      <c r="C40" s="309"/>
      <c r="D40" s="309"/>
      <c r="E40" s="309"/>
      <c r="F40" s="309"/>
      <c r="G40" s="309"/>
      <c r="H40" s="309"/>
      <c r="I40" s="309"/>
      <c r="J40" s="309"/>
      <c r="K40" s="309"/>
      <c r="L40" s="309"/>
      <c r="M40" s="309"/>
      <c r="N40" s="309"/>
      <c r="O40" s="310"/>
    </row>
    <row r="41" spans="1:24" ht="14.1" customHeight="1" x14ac:dyDescent="0.25">
      <c r="A41" s="308"/>
      <c r="B41" s="309"/>
      <c r="C41" s="309"/>
      <c r="D41" s="309"/>
      <c r="E41" s="309"/>
      <c r="F41" s="309"/>
      <c r="G41" s="309"/>
      <c r="H41" s="309"/>
      <c r="I41" s="309"/>
      <c r="J41" s="309"/>
      <c r="K41" s="309"/>
      <c r="L41" s="309"/>
      <c r="M41" s="309"/>
      <c r="N41" s="309"/>
      <c r="O41" s="310"/>
    </row>
    <row r="42" spans="1:24" ht="14.1" customHeight="1" x14ac:dyDescent="0.25">
      <c r="A42" s="308"/>
      <c r="B42" s="309"/>
      <c r="C42" s="309"/>
      <c r="D42" s="309"/>
      <c r="E42" s="309"/>
      <c r="F42" s="309"/>
      <c r="G42" s="309"/>
      <c r="H42" s="309"/>
      <c r="I42" s="309"/>
      <c r="J42" s="309"/>
      <c r="K42" s="309"/>
      <c r="L42" s="309"/>
      <c r="M42" s="309"/>
      <c r="N42" s="309"/>
      <c r="O42" s="310"/>
    </row>
    <row r="43" spans="1:24" ht="14.1" customHeight="1" x14ac:dyDescent="0.25">
      <c r="A43" s="311"/>
      <c r="B43" s="312"/>
      <c r="C43" s="312"/>
      <c r="D43" s="312"/>
      <c r="E43" s="312"/>
      <c r="F43" s="312"/>
      <c r="G43" s="312"/>
      <c r="H43" s="312"/>
      <c r="I43" s="312"/>
      <c r="J43" s="312"/>
      <c r="K43" s="312"/>
      <c r="L43" s="312"/>
      <c r="M43" s="312"/>
      <c r="N43" s="312"/>
      <c r="O43" s="313"/>
    </row>
    <row r="44" spans="1:24" s="135" customFormat="1" ht="14.1" customHeight="1" x14ac:dyDescent="0.25">
      <c r="A44" s="205"/>
      <c r="B44" s="205"/>
      <c r="C44" s="205"/>
      <c r="D44" s="205"/>
      <c r="E44" s="205"/>
      <c r="F44" s="149"/>
      <c r="G44" s="304"/>
      <c r="H44" s="304"/>
      <c r="I44" s="304"/>
      <c r="J44" s="304"/>
      <c r="K44" s="120"/>
      <c r="L44" s="134"/>
      <c r="M44" s="134"/>
      <c r="N44" s="299"/>
      <c r="O44" s="299"/>
      <c r="P44" s="134"/>
      <c r="Q44" s="134"/>
      <c r="R44" s="134"/>
      <c r="S44" s="134"/>
      <c r="T44" s="134"/>
      <c r="U44" s="134"/>
      <c r="V44" s="134"/>
      <c r="W44" s="134"/>
      <c r="X44" s="134"/>
    </row>
    <row r="45" spans="1:24" ht="14.4" x14ac:dyDescent="0.3">
      <c r="A45" s="73"/>
    </row>
    <row r="50" spans="1:24" s="135" customFormat="1" x14ac:dyDescent="0.25">
      <c r="A50" s="300"/>
      <c r="B50" s="300"/>
      <c r="C50" s="300"/>
      <c r="D50" s="300"/>
      <c r="E50" s="300"/>
      <c r="F50" s="300"/>
      <c r="G50" s="133"/>
      <c r="H50" s="133"/>
      <c r="I50" s="120"/>
      <c r="J50" s="120"/>
      <c r="K50" s="120"/>
      <c r="L50" s="134"/>
      <c r="M50" s="134"/>
      <c r="N50" s="299"/>
      <c r="O50" s="299"/>
      <c r="P50" s="134"/>
      <c r="Q50" s="134"/>
      <c r="R50" s="134"/>
      <c r="S50" s="134"/>
      <c r="T50" s="134"/>
      <c r="U50" s="134"/>
      <c r="V50" s="134"/>
      <c r="W50" s="134"/>
      <c r="X50" s="134"/>
    </row>
    <row r="68" spans="2:2" x14ac:dyDescent="0.25">
      <c r="B68" s="72"/>
    </row>
  </sheetData>
  <sheetProtection selectLockedCells="1"/>
  <mergeCells count="40">
    <mergeCell ref="K1:O1"/>
    <mergeCell ref="A1:J1"/>
    <mergeCell ref="C6:L6"/>
    <mergeCell ref="A3:O3"/>
    <mergeCell ref="D7:L7"/>
    <mergeCell ref="A4:O4"/>
    <mergeCell ref="E8:H8"/>
    <mergeCell ref="I8:J8"/>
    <mergeCell ref="E9:H9"/>
    <mergeCell ref="I9:J9"/>
    <mergeCell ref="E16:H16"/>
    <mergeCell ref="I14:J14"/>
    <mergeCell ref="D13:L13"/>
    <mergeCell ref="E14:H14"/>
    <mergeCell ref="E10:H10"/>
    <mergeCell ref="I10:J10"/>
    <mergeCell ref="E23:H23"/>
    <mergeCell ref="I15:J15"/>
    <mergeCell ref="I16:J16"/>
    <mergeCell ref="E20:H20"/>
    <mergeCell ref="E24:H24"/>
    <mergeCell ref="E15:H15"/>
    <mergeCell ref="I20:J20"/>
    <mergeCell ref="I21:J21"/>
    <mergeCell ref="I22:J22"/>
    <mergeCell ref="I23:J23"/>
    <mergeCell ref="I24:J24"/>
    <mergeCell ref="E21:H21"/>
    <mergeCell ref="E22:H22"/>
    <mergeCell ref="I25:J25"/>
    <mergeCell ref="I26:J26"/>
    <mergeCell ref="I27:J27"/>
    <mergeCell ref="N50:O50"/>
    <mergeCell ref="A50:F50"/>
    <mergeCell ref="E25:H25"/>
    <mergeCell ref="E26:H26"/>
    <mergeCell ref="E27:H27"/>
    <mergeCell ref="G44:J44"/>
    <mergeCell ref="N44:O44"/>
    <mergeCell ref="A32:O43"/>
  </mergeCells>
  <dataValidations xWindow="901" yWindow="632"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P40 A32:O43" xr:uid="{00000000-0002-0000-0100-000000000000}"/>
  </dataValidations>
  <printOptions horizontalCentered="1"/>
  <pageMargins left="0.2" right="0.2" top="0.75" bottom="0.75" header="0.3" footer="0.3"/>
  <pageSetup orientation="portrait" r:id="rId1"/>
  <headerFooter>
    <oddFooter>&amp;L&amp;F</oddFooter>
  </headerFooter>
  <rowBreaks count="1" manualBreakCount="1">
    <brk id="5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K57"/>
  <sheetViews>
    <sheetView showGridLines="0" workbookViewId="0">
      <pane ySplit="4" topLeftCell="A11" activePane="bottomLeft" state="frozen"/>
      <selection activeCell="B1" sqref="B1"/>
      <selection pane="bottomLeft" activeCell="J9" sqref="J9:K9"/>
    </sheetView>
  </sheetViews>
  <sheetFormatPr defaultRowHeight="13.2" x14ac:dyDescent="0.25"/>
  <cols>
    <col min="1" max="1" width="3.6640625" style="39" customWidth="1"/>
    <col min="2" max="4" width="9.109375" style="39"/>
    <col min="5" max="5" width="6.6640625" style="39" customWidth="1"/>
    <col min="6" max="6" width="6.5546875" style="39" customWidth="1"/>
    <col min="7" max="14" width="5.6640625" style="39" customWidth="1"/>
    <col min="15" max="15" width="6.6640625" style="39" customWidth="1"/>
    <col min="16" max="37" width="8.88671875" style="39"/>
  </cols>
  <sheetData>
    <row r="1" spans="1:37" ht="15.75" customHeight="1" x14ac:dyDescent="0.3">
      <c r="A1" s="355" t="s">
        <v>843</v>
      </c>
      <c r="B1" s="356"/>
      <c r="C1" s="356"/>
      <c r="D1" s="356"/>
      <c r="E1" s="356"/>
      <c r="F1" s="356"/>
      <c r="G1" s="356"/>
      <c r="H1" s="356"/>
      <c r="I1" s="356"/>
      <c r="J1" s="356"/>
      <c r="K1" s="353" t="str">
        <f>'CONTACT INFORMATION'!$A$24</f>
        <v>Alameda</v>
      </c>
      <c r="L1" s="353"/>
      <c r="M1" s="353"/>
      <c r="N1" s="353"/>
      <c r="O1" s="354"/>
    </row>
    <row r="2" spans="1:37" s="1" customFormat="1" ht="8.1" customHeight="1" x14ac:dyDescent="0.3">
      <c r="A2" s="57"/>
      <c r="B2" s="57"/>
      <c r="C2" s="57"/>
      <c r="D2" s="57"/>
      <c r="E2" s="57"/>
      <c r="F2" s="57"/>
      <c r="G2" s="57"/>
      <c r="H2" s="57"/>
      <c r="I2" s="57"/>
      <c r="J2" s="57"/>
      <c r="K2" s="57"/>
      <c r="L2" s="57"/>
      <c r="M2" s="57"/>
      <c r="N2" s="57"/>
      <c r="O2" s="57"/>
      <c r="P2" s="211"/>
      <c r="Q2" s="211"/>
      <c r="R2" s="211"/>
      <c r="S2" s="211"/>
      <c r="T2" s="211"/>
      <c r="U2" s="211"/>
      <c r="V2" s="211"/>
      <c r="W2" s="211"/>
      <c r="X2" s="211"/>
      <c r="Y2" s="211"/>
      <c r="Z2" s="211"/>
      <c r="AA2" s="211"/>
      <c r="AB2" s="211"/>
      <c r="AC2" s="211"/>
      <c r="AD2" s="211"/>
      <c r="AE2" s="211"/>
      <c r="AF2" s="211"/>
      <c r="AG2" s="211"/>
      <c r="AH2" s="211"/>
      <c r="AI2" s="211"/>
      <c r="AJ2" s="211"/>
      <c r="AK2" s="211"/>
    </row>
    <row r="3" spans="1:37" ht="24" customHeight="1" x14ac:dyDescent="0.25">
      <c r="A3" s="350" t="s">
        <v>845</v>
      </c>
      <c r="B3" s="351"/>
      <c r="C3" s="351"/>
      <c r="D3" s="351"/>
      <c r="E3" s="351"/>
      <c r="F3" s="351"/>
      <c r="G3" s="351"/>
      <c r="H3" s="351"/>
      <c r="I3" s="351"/>
      <c r="J3" s="351"/>
      <c r="K3" s="351"/>
      <c r="L3" s="351"/>
      <c r="M3" s="351"/>
      <c r="N3" s="351"/>
      <c r="O3" s="352"/>
    </row>
    <row r="4" spans="1:37" s="42" customFormat="1" ht="44.25" customHeight="1" x14ac:dyDescent="0.25">
      <c r="A4" s="347" t="s">
        <v>924</v>
      </c>
      <c r="B4" s="348"/>
      <c r="C4" s="348"/>
      <c r="D4" s="348"/>
      <c r="E4" s="348"/>
      <c r="F4" s="348"/>
      <c r="G4" s="348"/>
      <c r="H4" s="348"/>
      <c r="I4" s="348"/>
      <c r="J4" s="348"/>
      <c r="K4" s="348"/>
      <c r="L4" s="348"/>
      <c r="M4" s="348"/>
      <c r="N4" s="348"/>
      <c r="O4" s="349"/>
      <c r="P4" s="212"/>
      <c r="Q4" s="212"/>
      <c r="R4" s="212"/>
      <c r="S4" s="212"/>
      <c r="T4" s="212"/>
      <c r="U4" s="212"/>
      <c r="V4" s="212"/>
      <c r="W4" s="212"/>
      <c r="X4" s="212"/>
      <c r="Y4" s="212"/>
      <c r="Z4" s="212"/>
      <c r="AA4" s="212"/>
      <c r="AB4" s="212"/>
      <c r="AC4" s="212"/>
      <c r="AD4" s="212"/>
      <c r="AE4" s="212"/>
      <c r="AF4" s="212"/>
      <c r="AG4" s="212"/>
      <c r="AH4" s="212"/>
      <c r="AI4" s="212"/>
      <c r="AJ4" s="212"/>
      <c r="AK4" s="212"/>
    </row>
    <row r="5" spans="1:37" s="44" customFormat="1" ht="8.1" customHeight="1" x14ac:dyDescent="0.25">
      <c r="A5" s="89"/>
      <c r="B5" s="71"/>
      <c r="C5" s="71"/>
      <c r="D5" s="71"/>
      <c r="E5" s="71"/>
      <c r="F5" s="71"/>
      <c r="G5" s="71"/>
      <c r="H5" s="71"/>
      <c r="I5" s="71"/>
      <c r="J5" s="71"/>
      <c r="K5" s="71"/>
      <c r="L5" s="71"/>
      <c r="M5" s="71"/>
      <c r="N5" s="71"/>
      <c r="O5" s="90"/>
      <c r="P5" s="213"/>
      <c r="Q5" s="213"/>
      <c r="R5" s="213"/>
      <c r="S5" s="213"/>
      <c r="T5" s="213"/>
      <c r="U5" s="213"/>
      <c r="V5" s="213"/>
      <c r="W5" s="213"/>
      <c r="X5" s="213"/>
      <c r="Y5" s="213"/>
      <c r="Z5" s="213"/>
      <c r="AA5" s="213"/>
      <c r="AB5" s="213"/>
      <c r="AC5" s="213"/>
      <c r="AD5" s="213"/>
      <c r="AE5" s="213"/>
      <c r="AF5" s="213"/>
      <c r="AG5" s="213"/>
      <c r="AH5" s="213"/>
      <c r="AI5" s="213"/>
      <c r="AJ5" s="213"/>
      <c r="AK5" s="213"/>
    </row>
    <row r="6" spans="1:37" s="150" customFormat="1" ht="13.5" customHeight="1" x14ac:dyDescent="0.3">
      <c r="A6" s="102"/>
      <c r="B6" s="128"/>
      <c r="C6" s="357" t="s">
        <v>824</v>
      </c>
      <c r="D6" s="357"/>
      <c r="E6" s="357"/>
      <c r="F6" s="357"/>
      <c r="G6" s="357"/>
      <c r="H6" s="357"/>
      <c r="I6" s="357"/>
      <c r="J6" s="357"/>
      <c r="K6" s="357"/>
      <c r="L6" s="357"/>
      <c r="M6" s="151"/>
      <c r="N6" s="151"/>
      <c r="O6" s="152"/>
      <c r="P6" s="128"/>
      <c r="Q6" s="128"/>
      <c r="R6" s="128"/>
      <c r="S6" s="128"/>
      <c r="T6" s="128"/>
      <c r="U6" s="128"/>
      <c r="V6" s="128"/>
      <c r="W6" s="128"/>
      <c r="X6" s="128"/>
      <c r="Y6" s="128"/>
      <c r="Z6" s="128"/>
      <c r="AA6" s="128"/>
      <c r="AB6" s="128"/>
      <c r="AC6" s="128"/>
      <c r="AD6" s="128"/>
      <c r="AE6" s="128"/>
      <c r="AF6" s="128"/>
      <c r="AG6" s="128"/>
      <c r="AH6" s="128"/>
      <c r="AI6" s="128"/>
      <c r="AJ6" s="128"/>
      <c r="AK6" s="128"/>
    </row>
    <row r="7" spans="1:37" ht="14.1" customHeight="1" x14ac:dyDescent="0.3">
      <c r="A7" s="123"/>
      <c r="B7" s="128"/>
      <c r="C7" s="128"/>
      <c r="D7" s="370" t="s">
        <v>889</v>
      </c>
      <c r="E7" s="371"/>
      <c r="F7" s="371"/>
      <c r="G7" s="371"/>
      <c r="H7" s="371"/>
      <c r="I7" s="372"/>
      <c r="J7" s="364">
        <v>241</v>
      </c>
      <c r="K7" s="365"/>
      <c r="L7" s="45"/>
      <c r="M7" s="45"/>
      <c r="N7" s="45"/>
      <c r="O7" s="92"/>
    </row>
    <row r="8" spans="1:37" ht="14.1" customHeight="1" x14ac:dyDescent="0.25">
      <c r="A8" s="91"/>
      <c r="B8" s="128"/>
      <c r="C8" s="128"/>
      <c r="D8" s="358" t="s">
        <v>890</v>
      </c>
      <c r="E8" s="359"/>
      <c r="F8" s="359"/>
      <c r="G8" s="359"/>
      <c r="H8" s="359"/>
      <c r="I8" s="360"/>
      <c r="J8" s="366">
        <v>197</v>
      </c>
      <c r="K8" s="367"/>
      <c r="L8" s="125"/>
      <c r="M8" s="125"/>
      <c r="N8" s="125"/>
      <c r="O8" s="126"/>
      <c r="P8" s="214"/>
    </row>
    <row r="9" spans="1:37" ht="14.1" customHeight="1" x14ac:dyDescent="0.25">
      <c r="A9" s="91"/>
      <c r="B9" s="128"/>
      <c r="C9" s="128"/>
      <c r="D9" s="361" t="s">
        <v>827</v>
      </c>
      <c r="E9" s="362"/>
      <c r="F9" s="362"/>
      <c r="G9" s="362"/>
      <c r="H9" s="362"/>
      <c r="I9" s="363"/>
      <c r="J9" s="368">
        <f>SUM(I7:J8)</f>
        <v>438</v>
      </c>
      <c r="K9" s="369"/>
      <c r="L9" s="125"/>
      <c r="M9" s="125"/>
      <c r="N9" s="125"/>
      <c r="O9" s="126"/>
      <c r="P9" s="214"/>
    </row>
    <row r="10" spans="1:37" s="1" customFormat="1" ht="8.1" customHeight="1" x14ac:dyDescent="0.25">
      <c r="A10" s="102"/>
      <c r="B10" s="128"/>
      <c r="C10" s="128"/>
      <c r="D10" s="161"/>
      <c r="E10" s="161"/>
      <c r="F10" s="161"/>
      <c r="G10" s="161"/>
      <c r="H10" s="161"/>
      <c r="I10" s="161"/>
      <c r="J10" s="162"/>
      <c r="K10" s="162"/>
      <c r="L10" s="125"/>
      <c r="M10" s="125"/>
      <c r="N10" s="125"/>
      <c r="O10" s="126"/>
      <c r="P10" s="216"/>
      <c r="Q10" s="211"/>
      <c r="R10" s="211"/>
      <c r="S10" s="211"/>
      <c r="T10" s="211"/>
      <c r="U10" s="211"/>
      <c r="V10" s="211"/>
      <c r="W10" s="211"/>
      <c r="X10" s="211"/>
      <c r="Y10" s="211"/>
      <c r="Z10" s="211"/>
      <c r="AA10" s="211"/>
      <c r="AB10" s="211"/>
      <c r="AC10" s="211"/>
      <c r="AD10" s="211"/>
      <c r="AE10" s="211"/>
      <c r="AF10" s="211"/>
      <c r="AG10" s="211"/>
      <c r="AH10" s="211"/>
      <c r="AI10" s="211"/>
      <c r="AJ10" s="211"/>
      <c r="AK10" s="211"/>
    </row>
    <row r="11" spans="1:37" s="1" customFormat="1" ht="14.1" customHeight="1" x14ac:dyDescent="0.25">
      <c r="A11" s="102"/>
      <c r="B11" s="128"/>
      <c r="C11" s="378" t="s">
        <v>825</v>
      </c>
      <c r="D11" s="378"/>
      <c r="E11" s="378"/>
      <c r="F11" s="378"/>
      <c r="G11" s="378"/>
      <c r="H11" s="125"/>
      <c r="I11" s="125"/>
      <c r="J11" s="125"/>
      <c r="K11" s="125"/>
      <c r="L11" s="125"/>
      <c r="M11" s="125"/>
      <c r="N11" s="125"/>
      <c r="O11" s="126"/>
      <c r="P11" s="216"/>
      <c r="Q11" s="211"/>
      <c r="R11" s="211"/>
      <c r="S11" s="211"/>
      <c r="T11" s="211"/>
      <c r="U11" s="211"/>
      <c r="V11" s="211"/>
      <c r="W11" s="211"/>
      <c r="X11" s="211"/>
      <c r="Y11" s="211"/>
      <c r="Z11" s="211"/>
      <c r="AA11" s="211"/>
      <c r="AB11" s="211"/>
      <c r="AC11" s="211"/>
      <c r="AD11" s="211"/>
      <c r="AE11" s="211"/>
      <c r="AF11" s="211"/>
      <c r="AG11" s="211"/>
      <c r="AH11" s="211"/>
      <c r="AI11" s="211"/>
      <c r="AJ11" s="211"/>
      <c r="AK11" s="211"/>
    </row>
    <row r="12" spans="1:37" s="1" customFormat="1" ht="14.1" customHeight="1" x14ac:dyDescent="0.25">
      <c r="A12" s="102"/>
      <c r="B12" s="128"/>
      <c r="C12" s="45"/>
      <c r="D12" s="379" t="s">
        <v>885</v>
      </c>
      <c r="E12" s="380"/>
      <c r="F12" s="380"/>
      <c r="G12" s="380"/>
      <c r="H12" s="380"/>
      <c r="I12" s="380"/>
      <c r="J12" s="295">
        <v>0</v>
      </c>
      <c r="K12" s="296"/>
      <c r="L12" s="125"/>
      <c r="M12" s="125"/>
      <c r="N12" s="125"/>
      <c r="O12" s="126"/>
      <c r="P12" s="216"/>
      <c r="Q12" s="211"/>
      <c r="R12" s="211"/>
      <c r="S12" s="211"/>
      <c r="T12" s="211"/>
      <c r="U12" s="211"/>
      <c r="V12" s="211"/>
      <c r="W12" s="211"/>
      <c r="X12" s="211"/>
      <c r="Y12" s="211"/>
      <c r="Z12" s="211"/>
      <c r="AA12" s="211"/>
      <c r="AB12" s="211"/>
      <c r="AC12" s="211"/>
      <c r="AD12" s="211"/>
      <c r="AE12" s="211"/>
      <c r="AF12" s="211"/>
      <c r="AG12" s="211"/>
      <c r="AH12" s="211"/>
      <c r="AI12" s="211"/>
      <c r="AJ12" s="211"/>
      <c r="AK12" s="211"/>
    </row>
    <row r="13" spans="1:37" s="1" customFormat="1" ht="14.1" customHeight="1" x14ac:dyDescent="0.25">
      <c r="A13" s="102"/>
      <c r="B13" s="128"/>
      <c r="C13" s="45"/>
      <c r="D13" s="381" t="s">
        <v>891</v>
      </c>
      <c r="E13" s="382"/>
      <c r="F13" s="382"/>
      <c r="G13" s="382"/>
      <c r="H13" s="382"/>
      <c r="I13" s="382"/>
      <c r="J13" s="293">
        <v>49</v>
      </c>
      <c r="K13" s="294"/>
      <c r="L13" s="125"/>
      <c r="M13" s="125"/>
      <c r="N13" s="125"/>
      <c r="O13" s="126"/>
      <c r="P13" s="216"/>
      <c r="Q13" s="211"/>
      <c r="R13" s="211"/>
      <c r="S13" s="211"/>
      <c r="T13" s="211"/>
      <c r="U13" s="211"/>
      <c r="V13" s="211"/>
      <c r="W13" s="211"/>
      <c r="X13" s="211"/>
      <c r="Y13" s="211"/>
      <c r="Z13" s="211"/>
      <c r="AA13" s="211"/>
      <c r="AB13" s="211"/>
      <c r="AC13" s="211"/>
      <c r="AD13" s="211"/>
      <c r="AE13" s="211"/>
      <c r="AF13" s="211"/>
      <c r="AG13" s="211"/>
      <c r="AH13" s="211"/>
      <c r="AI13" s="211"/>
      <c r="AJ13" s="211"/>
      <c r="AK13" s="211"/>
    </row>
    <row r="14" spans="1:37" s="1" customFormat="1" ht="14.1" customHeight="1" x14ac:dyDescent="0.25">
      <c r="A14" s="102"/>
      <c r="B14" s="128"/>
      <c r="C14" s="45"/>
      <c r="D14" s="379" t="s">
        <v>892</v>
      </c>
      <c r="E14" s="380"/>
      <c r="F14" s="380"/>
      <c r="G14" s="380"/>
      <c r="H14" s="380"/>
      <c r="I14" s="380"/>
      <c r="J14" s="295">
        <v>337</v>
      </c>
      <c r="K14" s="296"/>
      <c r="L14" s="125"/>
      <c r="M14" s="125"/>
      <c r="N14" s="125"/>
      <c r="O14" s="126"/>
      <c r="P14" s="216"/>
      <c r="Q14" s="211"/>
      <c r="R14" s="211"/>
      <c r="S14" s="211"/>
      <c r="T14" s="211"/>
      <c r="U14" s="211"/>
      <c r="V14" s="211"/>
      <c r="W14" s="211"/>
      <c r="X14" s="211"/>
      <c r="Y14" s="211"/>
      <c r="Z14" s="211"/>
      <c r="AA14" s="211"/>
      <c r="AB14" s="211"/>
      <c r="AC14" s="211"/>
      <c r="AD14" s="211"/>
      <c r="AE14" s="211"/>
      <c r="AF14" s="211"/>
      <c r="AG14" s="211"/>
      <c r="AH14" s="211"/>
      <c r="AI14" s="211"/>
      <c r="AJ14" s="211"/>
      <c r="AK14" s="211"/>
    </row>
    <row r="15" spans="1:37" s="1" customFormat="1" ht="14.1" customHeight="1" x14ac:dyDescent="0.25">
      <c r="A15" s="102"/>
      <c r="B15" s="128"/>
      <c r="C15" s="45"/>
      <c r="D15" s="381" t="s">
        <v>893</v>
      </c>
      <c r="E15" s="382"/>
      <c r="F15" s="382"/>
      <c r="G15" s="382"/>
      <c r="H15" s="382"/>
      <c r="I15" s="382"/>
      <c r="J15" s="293">
        <v>0</v>
      </c>
      <c r="K15" s="294"/>
      <c r="L15" s="125"/>
      <c r="M15" s="125"/>
      <c r="N15" s="125"/>
      <c r="O15" s="126"/>
      <c r="P15" s="216"/>
      <c r="Q15" s="211"/>
      <c r="R15" s="211"/>
      <c r="S15" s="211"/>
      <c r="T15" s="211"/>
      <c r="U15" s="211"/>
      <c r="V15" s="211"/>
      <c r="W15" s="211"/>
      <c r="X15" s="211"/>
      <c r="Y15" s="211"/>
      <c r="Z15" s="211"/>
      <c r="AA15" s="211"/>
      <c r="AB15" s="211"/>
      <c r="AC15" s="211"/>
      <c r="AD15" s="211"/>
      <c r="AE15" s="211"/>
      <c r="AF15" s="211"/>
      <c r="AG15" s="211"/>
      <c r="AH15" s="211"/>
      <c r="AI15" s="211"/>
      <c r="AJ15" s="211"/>
      <c r="AK15" s="211"/>
    </row>
    <row r="16" spans="1:37" s="1" customFormat="1" ht="14.1" customHeight="1" x14ac:dyDescent="0.25">
      <c r="A16" s="102"/>
      <c r="B16" s="128"/>
      <c r="C16" s="45"/>
      <c r="D16" s="379" t="s">
        <v>894</v>
      </c>
      <c r="E16" s="380"/>
      <c r="F16" s="380"/>
      <c r="G16" s="380"/>
      <c r="H16" s="380"/>
      <c r="I16" s="380"/>
      <c r="J16" s="295">
        <v>1</v>
      </c>
      <c r="K16" s="296"/>
      <c r="L16" s="125"/>
      <c r="M16" s="125"/>
      <c r="N16" s="125"/>
      <c r="O16" s="126"/>
      <c r="P16" s="216"/>
      <c r="Q16" s="211"/>
      <c r="R16" s="211"/>
      <c r="S16" s="211"/>
      <c r="T16" s="211"/>
      <c r="U16" s="211"/>
      <c r="V16" s="211"/>
      <c r="W16" s="211"/>
      <c r="X16" s="211"/>
      <c r="Y16" s="211"/>
      <c r="Z16" s="211"/>
      <c r="AA16" s="211"/>
      <c r="AB16" s="211"/>
      <c r="AC16" s="211"/>
      <c r="AD16" s="211"/>
      <c r="AE16" s="211"/>
      <c r="AF16" s="211"/>
      <c r="AG16" s="211"/>
      <c r="AH16" s="211"/>
      <c r="AI16" s="211"/>
      <c r="AJ16" s="211"/>
      <c r="AK16" s="211"/>
    </row>
    <row r="17" spans="1:37" s="1" customFormat="1" ht="8.1" customHeight="1" x14ac:dyDescent="0.25">
      <c r="A17" s="102"/>
      <c r="B17" s="128"/>
      <c r="C17" s="128"/>
      <c r="D17" s="161"/>
      <c r="E17" s="161"/>
      <c r="F17" s="161"/>
      <c r="G17" s="161"/>
      <c r="H17" s="161"/>
      <c r="I17" s="161"/>
      <c r="J17" s="162"/>
      <c r="K17" s="162"/>
      <c r="L17" s="125"/>
      <c r="M17" s="125"/>
      <c r="N17" s="125"/>
      <c r="O17" s="126"/>
      <c r="P17" s="216"/>
      <c r="Q17" s="211"/>
      <c r="R17" s="211"/>
      <c r="S17" s="211"/>
      <c r="T17" s="211"/>
      <c r="U17" s="211"/>
      <c r="V17" s="211"/>
      <c r="W17" s="211"/>
      <c r="X17" s="211"/>
      <c r="Y17" s="211"/>
      <c r="Z17" s="211"/>
      <c r="AA17" s="211"/>
      <c r="AB17" s="211"/>
      <c r="AC17" s="211"/>
      <c r="AD17" s="211"/>
      <c r="AE17" s="211"/>
      <c r="AF17" s="211"/>
      <c r="AG17" s="211"/>
      <c r="AH17" s="211"/>
      <c r="AI17" s="211"/>
      <c r="AJ17" s="211"/>
      <c r="AK17" s="211"/>
    </row>
    <row r="18" spans="1:37" s="1" customFormat="1" ht="14.1" customHeight="1" x14ac:dyDescent="0.25">
      <c r="A18" s="102"/>
      <c r="B18" s="128"/>
      <c r="C18" s="378" t="s">
        <v>826</v>
      </c>
      <c r="D18" s="378"/>
      <c r="E18" s="378"/>
      <c r="F18" s="378"/>
      <c r="G18" s="378"/>
      <c r="H18" s="125"/>
      <c r="I18" s="125"/>
      <c r="J18" s="125"/>
      <c r="K18" s="125"/>
      <c r="L18" s="125"/>
      <c r="M18" s="125"/>
      <c r="N18" s="125"/>
      <c r="O18" s="126"/>
      <c r="P18" s="216"/>
      <c r="Q18" s="211"/>
      <c r="R18" s="211"/>
      <c r="S18" s="211"/>
      <c r="T18" s="211"/>
      <c r="U18" s="211"/>
      <c r="V18" s="211"/>
      <c r="W18" s="211"/>
      <c r="X18" s="211"/>
      <c r="Y18" s="211"/>
      <c r="Z18" s="211"/>
      <c r="AA18" s="211"/>
      <c r="AB18" s="211"/>
      <c r="AC18" s="211"/>
      <c r="AD18" s="211"/>
      <c r="AE18" s="211"/>
      <c r="AF18" s="211"/>
      <c r="AG18" s="211"/>
      <c r="AH18" s="211"/>
      <c r="AI18" s="211"/>
      <c r="AJ18" s="211"/>
      <c r="AK18" s="211"/>
    </row>
    <row r="19" spans="1:37" s="1" customFormat="1" ht="14.1" customHeight="1" x14ac:dyDescent="0.25">
      <c r="A19" s="102"/>
      <c r="B19" s="128"/>
      <c r="C19" s="128"/>
      <c r="D19" s="383" t="s">
        <v>895</v>
      </c>
      <c r="E19" s="384"/>
      <c r="F19" s="384"/>
      <c r="G19" s="384"/>
      <c r="H19" s="384"/>
      <c r="I19" s="384"/>
      <c r="J19" s="385">
        <v>213</v>
      </c>
      <c r="K19" s="386"/>
      <c r="L19" s="125"/>
      <c r="M19" s="125"/>
      <c r="N19" s="125"/>
      <c r="O19" s="126"/>
      <c r="P19" s="216"/>
      <c r="Q19" s="211"/>
      <c r="R19" s="211"/>
      <c r="S19" s="211"/>
      <c r="T19" s="211"/>
      <c r="U19" s="211"/>
      <c r="V19" s="211"/>
      <c r="W19" s="211"/>
      <c r="X19" s="211"/>
      <c r="Y19" s="211"/>
      <c r="Z19" s="211"/>
      <c r="AA19" s="211"/>
      <c r="AB19" s="211"/>
      <c r="AC19" s="211"/>
      <c r="AD19" s="211"/>
      <c r="AE19" s="211"/>
      <c r="AF19" s="211"/>
      <c r="AG19" s="211"/>
      <c r="AH19" s="211"/>
      <c r="AI19" s="211"/>
      <c r="AJ19" s="211"/>
      <c r="AK19" s="211"/>
    </row>
    <row r="20" spans="1:37" s="1" customFormat="1" ht="14.1" customHeight="1" x14ac:dyDescent="0.25">
      <c r="A20" s="102"/>
      <c r="B20" s="128"/>
      <c r="C20" s="128"/>
      <c r="D20" s="387" t="s">
        <v>896</v>
      </c>
      <c r="E20" s="388"/>
      <c r="F20" s="388"/>
      <c r="G20" s="388"/>
      <c r="H20" s="388"/>
      <c r="I20" s="388"/>
      <c r="J20" s="389">
        <v>0</v>
      </c>
      <c r="K20" s="390"/>
      <c r="L20" s="125"/>
      <c r="M20" s="125"/>
      <c r="N20" s="125"/>
      <c r="O20" s="126"/>
      <c r="P20" s="216"/>
      <c r="Q20" s="211"/>
      <c r="R20" s="211"/>
      <c r="S20" s="211"/>
      <c r="T20" s="211"/>
      <c r="U20" s="211"/>
      <c r="V20" s="211"/>
      <c r="W20" s="211"/>
      <c r="X20" s="211"/>
      <c r="Y20" s="211"/>
      <c r="Z20" s="211"/>
      <c r="AA20" s="211"/>
      <c r="AB20" s="211"/>
      <c r="AC20" s="211"/>
      <c r="AD20" s="211"/>
      <c r="AE20" s="211"/>
      <c r="AF20" s="211"/>
      <c r="AG20" s="211"/>
      <c r="AH20" s="211"/>
      <c r="AI20" s="211"/>
      <c r="AJ20" s="211"/>
      <c r="AK20" s="211"/>
    </row>
    <row r="21" spans="1:37" s="1" customFormat="1" ht="14.1" customHeight="1" x14ac:dyDescent="0.25">
      <c r="A21" s="102"/>
      <c r="B21" s="128"/>
      <c r="C21" s="128"/>
      <c r="D21" s="383" t="s">
        <v>897</v>
      </c>
      <c r="E21" s="384"/>
      <c r="F21" s="384"/>
      <c r="G21" s="384"/>
      <c r="H21" s="384"/>
      <c r="I21" s="384"/>
      <c r="J21" s="385">
        <v>30</v>
      </c>
      <c r="K21" s="386"/>
      <c r="L21" s="125"/>
      <c r="M21" s="125"/>
      <c r="N21" s="125"/>
      <c r="O21" s="126"/>
      <c r="P21" s="216"/>
      <c r="Q21" s="211"/>
      <c r="R21" s="211"/>
      <c r="S21" s="211"/>
      <c r="T21" s="211"/>
      <c r="U21" s="211"/>
      <c r="V21" s="211"/>
      <c r="W21" s="211"/>
      <c r="X21" s="211"/>
      <c r="Y21" s="211"/>
      <c r="Z21" s="211"/>
      <c r="AA21" s="211"/>
      <c r="AB21" s="211"/>
      <c r="AC21" s="211"/>
      <c r="AD21" s="211"/>
      <c r="AE21" s="211"/>
      <c r="AF21" s="211"/>
      <c r="AG21" s="211"/>
      <c r="AH21" s="211"/>
      <c r="AI21" s="211"/>
      <c r="AJ21" s="211"/>
      <c r="AK21" s="211"/>
    </row>
    <row r="22" spans="1:37" s="1" customFormat="1" ht="14.1" customHeight="1" x14ac:dyDescent="0.25">
      <c r="A22" s="102"/>
      <c r="B22" s="128"/>
      <c r="C22" s="128"/>
      <c r="D22" s="387" t="s">
        <v>898</v>
      </c>
      <c r="E22" s="388"/>
      <c r="F22" s="388"/>
      <c r="G22" s="388"/>
      <c r="H22" s="388"/>
      <c r="I22" s="388"/>
      <c r="J22" s="389">
        <v>0</v>
      </c>
      <c r="K22" s="390"/>
      <c r="L22" s="125"/>
      <c r="M22" s="125"/>
      <c r="N22" s="125"/>
      <c r="O22" s="126"/>
      <c r="P22" s="216"/>
      <c r="Q22" s="211"/>
      <c r="R22" s="211"/>
      <c r="S22" s="211"/>
      <c r="T22" s="211"/>
      <c r="U22" s="211"/>
      <c r="V22" s="211"/>
      <c r="W22" s="211"/>
      <c r="X22" s="211"/>
      <c r="Y22" s="211"/>
      <c r="Z22" s="211"/>
      <c r="AA22" s="211"/>
      <c r="AB22" s="211"/>
      <c r="AC22" s="211"/>
      <c r="AD22" s="211"/>
      <c r="AE22" s="211"/>
      <c r="AF22" s="211"/>
      <c r="AG22" s="211"/>
      <c r="AH22" s="211"/>
      <c r="AI22" s="211"/>
      <c r="AJ22" s="211"/>
      <c r="AK22" s="211"/>
    </row>
    <row r="23" spans="1:37" s="1" customFormat="1" ht="14.1" customHeight="1" x14ac:dyDescent="0.25">
      <c r="A23" s="102"/>
      <c r="B23" s="128"/>
      <c r="C23" s="128"/>
      <c r="D23" s="383" t="s">
        <v>917</v>
      </c>
      <c r="E23" s="384"/>
      <c r="F23" s="384"/>
      <c r="G23" s="384"/>
      <c r="H23" s="384"/>
      <c r="I23" s="384"/>
      <c r="J23" s="385">
        <v>82</v>
      </c>
      <c r="K23" s="386"/>
      <c r="L23" s="125"/>
      <c r="M23" s="125"/>
      <c r="N23" s="125"/>
      <c r="O23" s="126"/>
      <c r="P23" s="216"/>
      <c r="Q23" s="211"/>
      <c r="R23" s="211"/>
      <c r="S23" s="211"/>
      <c r="T23" s="211"/>
      <c r="U23" s="211"/>
      <c r="V23" s="211"/>
      <c r="W23" s="211"/>
      <c r="X23" s="211"/>
      <c r="Y23" s="211"/>
      <c r="Z23" s="211"/>
      <c r="AA23" s="211"/>
      <c r="AB23" s="211"/>
      <c r="AC23" s="211"/>
      <c r="AD23" s="211"/>
      <c r="AE23" s="211"/>
      <c r="AF23" s="211"/>
      <c r="AG23" s="211"/>
      <c r="AH23" s="211"/>
      <c r="AI23" s="211"/>
      <c r="AJ23" s="211"/>
      <c r="AK23" s="211"/>
    </row>
    <row r="24" spans="1:37" s="1" customFormat="1" ht="14.1" customHeight="1" x14ac:dyDescent="0.25">
      <c r="A24" s="102"/>
      <c r="B24" s="128"/>
      <c r="C24" s="128"/>
      <c r="D24" s="387" t="s">
        <v>512</v>
      </c>
      <c r="E24" s="388"/>
      <c r="F24" s="388"/>
      <c r="G24" s="388"/>
      <c r="H24" s="388"/>
      <c r="I24" s="388"/>
      <c r="J24" s="389">
        <v>6</v>
      </c>
      <c r="K24" s="390"/>
      <c r="L24" s="125"/>
      <c r="M24" s="125"/>
      <c r="N24" s="125"/>
      <c r="O24" s="126"/>
      <c r="P24" s="216"/>
      <c r="Q24" s="211"/>
      <c r="R24" s="211"/>
      <c r="S24" s="211"/>
      <c r="T24" s="211"/>
      <c r="U24" s="211"/>
      <c r="V24" s="211"/>
      <c r="W24" s="211"/>
      <c r="X24" s="211"/>
      <c r="Y24" s="211"/>
      <c r="Z24" s="211"/>
      <c r="AA24" s="211"/>
      <c r="AB24" s="211"/>
      <c r="AC24" s="211"/>
      <c r="AD24" s="211"/>
      <c r="AE24" s="211"/>
      <c r="AF24" s="211"/>
      <c r="AG24" s="211"/>
      <c r="AH24" s="211"/>
      <c r="AI24" s="211"/>
      <c r="AJ24" s="211"/>
      <c r="AK24" s="211"/>
    </row>
    <row r="25" spans="1:37" s="1" customFormat="1" ht="14.1" customHeight="1" x14ac:dyDescent="0.3">
      <c r="A25" s="102"/>
      <c r="B25" s="128"/>
      <c r="C25" s="45"/>
      <c r="D25" s="383" t="s">
        <v>900</v>
      </c>
      <c r="E25" s="384"/>
      <c r="F25" s="384"/>
      <c r="G25" s="384"/>
      <c r="H25" s="384"/>
      <c r="I25" s="384"/>
      <c r="J25" s="385">
        <v>6</v>
      </c>
      <c r="K25" s="386"/>
      <c r="L25" s="125"/>
      <c r="M25" s="125"/>
      <c r="N25" s="125"/>
      <c r="O25" s="126"/>
      <c r="P25" s="216"/>
      <c r="Q25" s="211"/>
      <c r="R25" s="211"/>
      <c r="S25" s="211"/>
      <c r="T25" s="211"/>
      <c r="U25" s="211"/>
      <c r="V25" s="211"/>
      <c r="W25" s="211"/>
      <c r="X25" s="211"/>
      <c r="Y25" s="211"/>
      <c r="Z25" s="211"/>
      <c r="AA25" s="211"/>
      <c r="AB25" s="211"/>
      <c r="AC25" s="211"/>
      <c r="AD25" s="211"/>
      <c r="AE25" s="211"/>
      <c r="AF25" s="211"/>
      <c r="AG25" s="211"/>
      <c r="AH25" s="211"/>
      <c r="AI25" s="211"/>
      <c r="AJ25" s="211"/>
      <c r="AK25" s="211"/>
    </row>
    <row r="26" spans="1:37" s="1" customFormat="1" ht="14.1" customHeight="1" x14ac:dyDescent="0.25">
      <c r="A26" s="102"/>
      <c r="B26" s="128"/>
      <c r="C26" s="128"/>
      <c r="D26" s="394" t="s">
        <v>827</v>
      </c>
      <c r="E26" s="395"/>
      <c r="F26" s="395"/>
      <c r="G26" s="395"/>
      <c r="H26" s="395"/>
      <c r="I26" s="396"/>
      <c r="J26" s="297">
        <f>SUM(J19:K25)</f>
        <v>337</v>
      </c>
      <c r="K26" s="298"/>
      <c r="L26" s="125"/>
      <c r="M26" s="125"/>
      <c r="N26" s="125"/>
      <c r="O26" s="126"/>
      <c r="P26" s="216"/>
      <c r="Q26" s="211"/>
      <c r="R26" s="211"/>
      <c r="S26" s="211"/>
      <c r="T26" s="211"/>
      <c r="U26" s="211"/>
      <c r="V26" s="211"/>
      <c r="W26" s="211"/>
      <c r="X26" s="211"/>
      <c r="Y26" s="211"/>
      <c r="Z26" s="211"/>
      <c r="AA26" s="211"/>
      <c r="AB26" s="211"/>
      <c r="AC26" s="211"/>
      <c r="AD26" s="211"/>
      <c r="AE26" s="211"/>
      <c r="AF26" s="211"/>
      <c r="AG26" s="211"/>
      <c r="AH26" s="211"/>
      <c r="AI26" s="211"/>
      <c r="AJ26" s="211"/>
      <c r="AK26" s="211"/>
    </row>
    <row r="27" spans="1:37" s="1" customFormat="1" ht="8.1" customHeight="1" x14ac:dyDescent="0.25">
      <c r="A27" s="102"/>
      <c r="B27" s="128"/>
      <c r="C27" s="128"/>
      <c r="D27" s="45"/>
      <c r="E27" s="125"/>
      <c r="F27" s="125"/>
      <c r="G27" s="125"/>
      <c r="H27" s="125"/>
      <c r="I27" s="125"/>
      <c r="J27" s="125"/>
      <c r="K27" s="125"/>
      <c r="L27" s="125"/>
      <c r="M27" s="125"/>
      <c r="N27" s="125"/>
      <c r="O27" s="126"/>
      <c r="P27" s="216"/>
      <c r="Q27" s="211"/>
      <c r="R27" s="211"/>
      <c r="S27" s="211"/>
      <c r="T27" s="211"/>
      <c r="U27" s="211"/>
      <c r="V27" s="211"/>
      <c r="W27" s="211"/>
      <c r="X27" s="211"/>
      <c r="Y27" s="211"/>
      <c r="Z27" s="211"/>
      <c r="AA27" s="211"/>
      <c r="AB27" s="211"/>
      <c r="AC27" s="211"/>
      <c r="AD27" s="211"/>
      <c r="AE27" s="211"/>
      <c r="AF27" s="211"/>
      <c r="AG27" s="211"/>
      <c r="AH27" s="211"/>
      <c r="AI27" s="211"/>
      <c r="AJ27" s="211"/>
      <c r="AK27" s="211"/>
    </row>
    <row r="28" spans="1:37" s="1" customFormat="1" ht="14.1" customHeight="1" x14ac:dyDescent="0.25">
      <c r="A28" s="102"/>
      <c r="B28" s="128"/>
      <c r="C28" s="391" t="s">
        <v>828</v>
      </c>
      <c r="D28" s="391"/>
      <c r="E28" s="391"/>
      <c r="F28" s="391"/>
      <c r="G28" s="391"/>
      <c r="H28" s="125"/>
      <c r="I28" s="125"/>
      <c r="J28" s="125"/>
      <c r="K28" s="125"/>
      <c r="L28" s="125"/>
      <c r="M28" s="125"/>
      <c r="N28" s="125"/>
      <c r="O28" s="126"/>
      <c r="P28" s="216"/>
      <c r="Q28" s="211"/>
      <c r="R28" s="211"/>
      <c r="S28" s="211"/>
      <c r="T28" s="211"/>
      <c r="U28" s="211"/>
      <c r="V28" s="211"/>
      <c r="W28" s="211"/>
      <c r="X28" s="211"/>
      <c r="Y28" s="211"/>
      <c r="Z28" s="211"/>
      <c r="AA28" s="211"/>
      <c r="AB28" s="211"/>
      <c r="AC28" s="211"/>
      <c r="AD28" s="211"/>
      <c r="AE28" s="211"/>
      <c r="AF28" s="211"/>
      <c r="AG28" s="211"/>
      <c r="AH28" s="211"/>
      <c r="AI28" s="211"/>
      <c r="AJ28" s="211"/>
      <c r="AK28" s="211"/>
    </row>
    <row r="29" spans="1:37" s="1" customFormat="1" ht="14.1" customHeight="1" x14ac:dyDescent="0.25">
      <c r="A29" s="102"/>
      <c r="B29" s="128"/>
      <c r="C29" s="153"/>
      <c r="D29" s="392" t="s">
        <v>899</v>
      </c>
      <c r="E29" s="392"/>
      <c r="F29" s="392"/>
      <c r="G29" s="392"/>
      <c r="H29" s="392"/>
      <c r="I29" s="392"/>
      <c r="J29" s="393">
        <v>40</v>
      </c>
      <c r="K29" s="393"/>
      <c r="L29" s="125"/>
      <c r="M29" s="125"/>
      <c r="N29" s="125"/>
      <c r="O29" s="126"/>
      <c r="P29" s="216"/>
      <c r="Q29" s="211"/>
      <c r="R29" s="211"/>
      <c r="S29" s="211"/>
      <c r="T29" s="211"/>
      <c r="U29" s="211"/>
      <c r="V29" s="211"/>
      <c r="W29" s="211"/>
      <c r="X29" s="211"/>
      <c r="Y29" s="211"/>
      <c r="Z29" s="211"/>
      <c r="AA29" s="211"/>
      <c r="AB29" s="211"/>
      <c r="AC29" s="211"/>
      <c r="AD29" s="211"/>
      <c r="AE29" s="211"/>
      <c r="AF29" s="211"/>
      <c r="AG29" s="211"/>
      <c r="AH29" s="211"/>
      <c r="AI29" s="211"/>
      <c r="AJ29" s="211"/>
      <c r="AK29" s="211"/>
    </row>
    <row r="30" spans="1:37" ht="8.1" customHeight="1" x14ac:dyDescent="0.25">
      <c r="A30" s="91"/>
      <c r="B30" s="128"/>
      <c r="C30" s="128"/>
      <c r="D30" s="128"/>
      <c r="E30" s="124"/>
      <c r="F30" s="125"/>
      <c r="G30" s="125"/>
      <c r="H30" s="125"/>
      <c r="I30" s="125"/>
      <c r="J30" s="125"/>
      <c r="K30" s="125"/>
      <c r="L30" s="125"/>
      <c r="M30" s="125"/>
      <c r="N30" s="125"/>
      <c r="O30" s="126"/>
      <c r="P30" s="214"/>
    </row>
    <row r="31" spans="1:37" ht="18" customHeight="1" x14ac:dyDescent="0.25">
      <c r="A31" s="91"/>
      <c r="B31" s="45"/>
      <c r="C31" s="373" t="s">
        <v>852</v>
      </c>
      <c r="D31" s="374"/>
      <c r="E31" s="374"/>
      <c r="F31" s="374"/>
      <c r="G31" s="125"/>
      <c r="H31" s="125"/>
      <c r="I31" s="125"/>
      <c r="J31" s="125"/>
      <c r="K31" s="125"/>
      <c r="L31" s="125"/>
      <c r="M31" s="125"/>
      <c r="N31" s="125"/>
      <c r="O31" s="126"/>
      <c r="P31" s="214"/>
    </row>
    <row r="32" spans="1:37" ht="13.5" customHeight="1" x14ac:dyDescent="0.25">
      <c r="A32" s="91"/>
      <c r="B32" s="45"/>
      <c r="C32" s="45"/>
      <c r="D32" s="344" t="s">
        <v>814</v>
      </c>
      <c r="E32" s="344"/>
      <c r="F32" s="344"/>
      <c r="G32" s="344"/>
      <c r="H32" s="344"/>
      <c r="I32" s="344"/>
      <c r="J32" s="376">
        <v>353</v>
      </c>
      <c r="K32" s="377"/>
      <c r="L32" s="125"/>
      <c r="M32" s="125"/>
      <c r="N32" s="125"/>
      <c r="O32" s="126"/>
      <c r="P32" s="214"/>
    </row>
    <row r="33" spans="1:37" ht="14.1" customHeight="1" x14ac:dyDescent="0.25">
      <c r="A33" s="91"/>
      <c r="B33" s="45"/>
      <c r="C33" s="45"/>
      <c r="D33" s="334" t="s">
        <v>815</v>
      </c>
      <c r="E33" s="335"/>
      <c r="F33" s="335"/>
      <c r="G33" s="335"/>
      <c r="H33" s="335"/>
      <c r="I33" s="375"/>
      <c r="J33" s="340">
        <v>85</v>
      </c>
      <c r="K33" s="341"/>
      <c r="L33" s="125"/>
      <c r="M33" s="125"/>
      <c r="N33" s="125"/>
      <c r="O33" s="126"/>
      <c r="P33" s="214"/>
    </row>
    <row r="34" spans="1:37" ht="14.1" customHeight="1" x14ac:dyDescent="0.25">
      <c r="A34" s="91"/>
      <c r="B34" s="45"/>
      <c r="C34" s="45"/>
      <c r="D34" s="345" t="s">
        <v>827</v>
      </c>
      <c r="E34" s="345"/>
      <c r="F34" s="345"/>
      <c r="G34" s="345"/>
      <c r="H34" s="345"/>
      <c r="I34" s="345"/>
      <c r="J34" s="342">
        <f>SUM(J32:K33)</f>
        <v>438</v>
      </c>
      <c r="K34" s="343"/>
      <c r="L34" s="125"/>
      <c r="M34" s="125"/>
      <c r="N34" s="125"/>
      <c r="O34" s="126"/>
      <c r="P34" s="214"/>
    </row>
    <row r="35" spans="1:37" ht="8.1" customHeight="1" x14ac:dyDescent="0.25">
      <c r="A35" s="91"/>
      <c r="B35" s="45"/>
      <c r="C35" s="45"/>
      <c r="D35" s="45"/>
      <c r="E35" s="124"/>
      <c r="F35" s="125"/>
      <c r="G35" s="125"/>
      <c r="H35" s="125"/>
      <c r="I35" s="125"/>
      <c r="J35" s="125"/>
      <c r="K35" s="125"/>
      <c r="L35" s="125"/>
      <c r="M35" s="125"/>
      <c r="N35" s="125"/>
      <c r="O35" s="126"/>
      <c r="P35" s="214"/>
    </row>
    <row r="36" spans="1:37" ht="15.75" customHeight="1" x14ac:dyDescent="0.25">
      <c r="A36" s="91"/>
      <c r="B36" s="45"/>
      <c r="C36" s="346" t="s">
        <v>851</v>
      </c>
      <c r="D36" s="346"/>
      <c r="E36" s="346"/>
      <c r="F36" s="346"/>
      <c r="G36" s="346"/>
      <c r="H36" s="125"/>
      <c r="I36" s="125"/>
      <c r="J36" s="125"/>
      <c r="K36" s="125"/>
      <c r="L36" s="125"/>
      <c r="M36" s="125"/>
      <c r="N36" s="125"/>
      <c r="O36" s="126"/>
      <c r="P36" s="214"/>
    </row>
    <row r="37" spans="1:37" ht="14.1" customHeight="1" x14ac:dyDescent="0.25">
      <c r="A37" s="91"/>
      <c r="B37" s="45"/>
      <c r="C37" s="45"/>
      <c r="D37" s="336" t="s">
        <v>817</v>
      </c>
      <c r="E37" s="337"/>
      <c r="F37" s="337"/>
      <c r="G37" s="337"/>
      <c r="H37" s="337"/>
      <c r="I37" s="337"/>
      <c r="J37" s="295">
        <v>110</v>
      </c>
      <c r="K37" s="296"/>
      <c r="L37" s="125"/>
      <c r="M37" s="125"/>
      <c r="N37" s="125"/>
      <c r="O37" s="126"/>
      <c r="P37" s="214"/>
    </row>
    <row r="38" spans="1:37" s="1" customFormat="1" ht="14.1" customHeight="1" x14ac:dyDescent="0.3">
      <c r="A38" s="127"/>
      <c r="B38" s="128"/>
      <c r="C38" s="128"/>
      <c r="D38" s="334" t="s">
        <v>818</v>
      </c>
      <c r="E38" s="335"/>
      <c r="F38" s="335"/>
      <c r="G38" s="335"/>
      <c r="H38" s="335"/>
      <c r="I38" s="335"/>
      <c r="J38" s="293">
        <v>16</v>
      </c>
      <c r="K38" s="294"/>
      <c r="L38" s="125"/>
      <c r="M38" s="125"/>
      <c r="N38" s="125"/>
      <c r="O38" s="126"/>
      <c r="P38" s="216"/>
      <c r="Q38" s="211"/>
      <c r="R38" s="211"/>
      <c r="S38" s="211"/>
      <c r="T38" s="211"/>
      <c r="U38" s="211"/>
      <c r="V38" s="211"/>
      <c r="W38" s="211"/>
      <c r="X38" s="211"/>
      <c r="Y38" s="211"/>
      <c r="Z38" s="211"/>
      <c r="AA38" s="211"/>
      <c r="AB38" s="211"/>
      <c r="AC38" s="211"/>
      <c r="AD38" s="211"/>
      <c r="AE38" s="211"/>
      <c r="AF38" s="211"/>
      <c r="AG38" s="211"/>
      <c r="AH38" s="211"/>
      <c r="AI38" s="211"/>
      <c r="AJ38" s="211"/>
      <c r="AK38" s="211"/>
    </row>
    <row r="39" spans="1:37" ht="14.1" customHeight="1" x14ac:dyDescent="0.25">
      <c r="A39" s="91"/>
      <c r="B39" s="136"/>
      <c r="C39" s="128"/>
      <c r="D39" s="336" t="s">
        <v>819</v>
      </c>
      <c r="E39" s="337"/>
      <c r="F39" s="337"/>
      <c r="G39" s="337"/>
      <c r="H39" s="337"/>
      <c r="I39" s="337"/>
      <c r="J39" s="295">
        <v>293</v>
      </c>
      <c r="K39" s="296"/>
      <c r="L39" s="125"/>
      <c r="M39" s="125"/>
      <c r="N39" s="125"/>
      <c r="O39" s="126"/>
      <c r="P39" s="214"/>
    </row>
    <row r="40" spans="1:37" ht="14.1" customHeight="1" x14ac:dyDescent="0.25">
      <c r="A40" s="91"/>
      <c r="B40" s="136"/>
      <c r="C40" s="128"/>
      <c r="D40" s="338" t="s">
        <v>820</v>
      </c>
      <c r="E40" s="339"/>
      <c r="F40" s="339"/>
      <c r="G40" s="339"/>
      <c r="H40" s="339"/>
      <c r="I40" s="339"/>
      <c r="J40" s="293">
        <v>9</v>
      </c>
      <c r="K40" s="294"/>
      <c r="L40" s="125"/>
      <c r="M40" s="125"/>
      <c r="N40" s="125"/>
      <c r="O40" s="126"/>
      <c r="P40" s="214"/>
    </row>
    <row r="41" spans="1:37" ht="14.1" customHeight="1" x14ac:dyDescent="0.25">
      <c r="A41" s="91"/>
      <c r="B41" s="136"/>
      <c r="C41" s="128"/>
      <c r="D41" s="336" t="s">
        <v>821</v>
      </c>
      <c r="E41" s="337"/>
      <c r="F41" s="337"/>
      <c r="G41" s="337"/>
      <c r="H41" s="337"/>
      <c r="I41" s="337"/>
      <c r="J41" s="295">
        <v>1</v>
      </c>
      <c r="K41" s="296"/>
      <c r="L41" s="125"/>
      <c r="M41" s="125"/>
      <c r="N41" s="125"/>
      <c r="O41" s="126"/>
      <c r="P41" s="214"/>
    </row>
    <row r="42" spans="1:37" s="1" customFormat="1" ht="14.1" customHeight="1" x14ac:dyDescent="0.25">
      <c r="A42" s="102"/>
      <c r="B42" s="136"/>
      <c r="C42" s="128"/>
      <c r="D42" s="334" t="s">
        <v>822</v>
      </c>
      <c r="E42" s="335"/>
      <c r="F42" s="335"/>
      <c r="G42" s="335"/>
      <c r="H42" s="335"/>
      <c r="I42" s="335"/>
      <c r="J42" s="293">
        <v>1</v>
      </c>
      <c r="K42" s="294"/>
      <c r="L42" s="125"/>
      <c r="M42" s="125"/>
      <c r="N42" s="125"/>
      <c r="O42" s="126"/>
      <c r="P42" s="216"/>
      <c r="Q42" s="211"/>
      <c r="R42" s="211"/>
      <c r="S42" s="211"/>
      <c r="T42" s="211"/>
      <c r="U42" s="211"/>
      <c r="V42" s="211"/>
      <c r="W42" s="211"/>
      <c r="X42" s="211"/>
      <c r="Y42" s="211"/>
      <c r="Z42" s="211"/>
      <c r="AA42" s="211"/>
      <c r="AB42" s="211"/>
      <c r="AC42" s="211"/>
      <c r="AD42" s="211"/>
      <c r="AE42" s="211"/>
      <c r="AF42" s="211"/>
      <c r="AG42" s="211"/>
      <c r="AH42" s="211"/>
      <c r="AI42" s="211"/>
      <c r="AJ42" s="211"/>
      <c r="AK42" s="211"/>
    </row>
    <row r="43" spans="1:37" ht="14.1" customHeight="1" x14ac:dyDescent="0.25">
      <c r="A43" s="91"/>
      <c r="B43" s="136"/>
      <c r="C43" s="128"/>
      <c r="D43" s="336" t="s">
        <v>823</v>
      </c>
      <c r="E43" s="337"/>
      <c r="F43" s="337"/>
      <c r="G43" s="337"/>
      <c r="H43" s="337"/>
      <c r="I43" s="337"/>
      <c r="J43" s="295">
        <v>8</v>
      </c>
      <c r="K43" s="296"/>
      <c r="L43" s="125"/>
      <c r="M43" s="125"/>
      <c r="N43" s="125"/>
      <c r="O43" s="126"/>
      <c r="P43" s="214"/>
    </row>
    <row r="44" spans="1:37" ht="14.1" customHeight="1" x14ac:dyDescent="0.25">
      <c r="A44" s="91"/>
      <c r="B44" s="128"/>
      <c r="C44" s="128"/>
      <c r="D44" s="332" t="s">
        <v>827</v>
      </c>
      <c r="E44" s="333"/>
      <c r="F44" s="333"/>
      <c r="G44" s="333"/>
      <c r="H44" s="333"/>
      <c r="I44" s="333"/>
      <c r="J44" s="297">
        <f>SUM(J37:K43)</f>
        <v>438</v>
      </c>
      <c r="K44" s="298"/>
      <c r="L44" s="125"/>
      <c r="M44" s="125"/>
      <c r="N44" s="125"/>
      <c r="O44" s="126"/>
      <c r="P44" s="214"/>
    </row>
    <row r="45" spans="1:37" ht="6.75" customHeight="1" x14ac:dyDescent="0.25">
      <c r="A45" s="58"/>
      <c r="B45" s="144"/>
      <c r="C45" s="155"/>
      <c r="D45" s="155"/>
      <c r="E45" s="156"/>
      <c r="F45" s="156"/>
      <c r="G45" s="181"/>
      <c r="H45" s="181"/>
      <c r="I45" s="181"/>
      <c r="J45" s="181"/>
      <c r="K45" s="181"/>
      <c r="L45" s="181"/>
      <c r="M45" s="181"/>
      <c r="N45" s="181"/>
      <c r="O45" s="182"/>
      <c r="P45" s="214"/>
    </row>
    <row r="46" spans="1:37" ht="8.1" customHeight="1" x14ac:dyDescent="0.25">
      <c r="A46" s="45"/>
      <c r="B46" s="128"/>
      <c r="C46" s="153"/>
      <c r="D46" s="153"/>
      <c r="E46" s="154"/>
      <c r="F46" s="154"/>
      <c r="G46" s="125"/>
      <c r="H46" s="125"/>
      <c r="I46" s="125"/>
      <c r="J46" s="125"/>
      <c r="K46" s="125"/>
      <c r="L46" s="125"/>
      <c r="M46" s="125"/>
      <c r="N46" s="125"/>
      <c r="O46" s="125"/>
      <c r="P46" s="214"/>
    </row>
    <row r="47" spans="1:37" ht="14.1" customHeight="1" x14ac:dyDescent="0.25">
      <c r="A47" s="189" t="s">
        <v>888</v>
      </c>
    </row>
    <row r="48" spans="1:37" ht="14.1" customHeight="1" x14ac:dyDescent="0.25">
      <c r="A48" s="305"/>
      <c r="B48" s="306"/>
      <c r="C48" s="306"/>
      <c r="D48" s="306"/>
      <c r="E48" s="306"/>
      <c r="F48" s="306"/>
      <c r="G48" s="306"/>
      <c r="H48" s="306"/>
      <c r="I48" s="306"/>
      <c r="J48" s="306"/>
      <c r="K48" s="306"/>
      <c r="L48" s="306"/>
      <c r="M48" s="306"/>
      <c r="N48" s="306"/>
      <c r="O48" s="307"/>
    </row>
    <row r="49" spans="1:37" ht="14.1" customHeight="1" x14ac:dyDescent="0.25">
      <c r="A49" s="308"/>
      <c r="B49" s="309"/>
      <c r="C49" s="309"/>
      <c r="D49" s="309"/>
      <c r="E49" s="309"/>
      <c r="F49" s="309"/>
      <c r="G49" s="309"/>
      <c r="H49" s="309"/>
      <c r="I49" s="309"/>
      <c r="J49" s="309"/>
      <c r="K49" s="309"/>
      <c r="L49" s="309"/>
      <c r="M49" s="309"/>
      <c r="N49" s="309"/>
      <c r="O49" s="310"/>
    </row>
    <row r="50" spans="1:37" ht="14.1" customHeight="1" x14ac:dyDescent="0.25">
      <c r="A50" s="308"/>
      <c r="B50" s="309"/>
      <c r="C50" s="309"/>
      <c r="D50" s="309"/>
      <c r="E50" s="309"/>
      <c r="F50" s="309"/>
      <c r="G50" s="309"/>
      <c r="H50" s="309"/>
      <c r="I50" s="309"/>
      <c r="J50" s="309"/>
      <c r="K50" s="309"/>
      <c r="L50" s="309"/>
      <c r="M50" s="309"/>
      <c r="N50" s="309"/>
      <c r="O50" s="310"/>
    </row>
    <row r="51" spans="1:37" ht="14.1" customHeight="1" x14ac:dyDescent="0.25">
      <c r="A51" s="308"/>
      <c r="B51" s="309"/>
      <c r="C51" s="309"/>
      <c r="D51" s="309"/>
      <c r="E51" s="309"/>
      <c r="F51" s="309"/>
      <c r="G51" s="309"/>
      <c r="H51" s="309"/>
      <c r="I51" s="309"/>
      <c r="J51" s="309"/>
      <c r="K51" s="309"/>
      <c r="L51" s="309"/>
      <c r="M51" s="309"/>
      <c r="N51" s="309"/>
      <c r="O51" s="310"/>
    </row>
    <row r="52" spans="1:37" ht="7.5" customHeight="1" x14ac:dyDescent="0.25">
      <c r="A52" s="308"/>
      <c r="B52" s="309"/>
      <c r="C52" s="309"/>
      <c r="D52" s="309"/>
      <c r="E52" s="309"/>
      <c r="F52" s="309"/>
      <c r="G52" s="309"/>
      <c r="H52" s="309"/>
      <c r="I52" s="309"/>
      <c r="J52" s="309"/>
      <c r="K52" s="309"/>
      <c r="L52" s="309"/>
      <c r="M52" s="309"/>
      <c r="N52" s="309"/>
      <c r="O52" s="310"/>
    </row>
    <row r="53" spans="1:37" ht="7.5" customHeight="1" x14ac:dyDescent="0.25">
      <c r="A53" s="308"/>
      <c r="B53" s="309"/>
      <c r="C53" s="309"/>
      <c r="D53" s="309"/>
      <c r="E53" s="309"/>
      <c r="F53" s="309"/>
      <c r="G53" s="309"/>
      <c r="H53" s="309"/>
      <c r="I53" s="309"/>
      <c r="J53" s="309"/>
      <c r="K53" s="309"/>
      <c r="L53" s="309"/>
      <c r="M53" s="309"/>
      <c r="N53" s="309"/>
      <c r="O53" s="310"/>
    </row>
    <row r="54" spans="1:37" ht="7.5" customHeight="1" x14ac:dyDescent="0.25">
      <c r="A54" s="311"/>
      <c r="B54" s="312"/>
      <c r="C54" s="312"/>
      <c r="D54" s="312"/>
      <c r="E54" s="312"/>
      <c r="F54" s="312"/>
      <c r="G54" s="312"/>
      <c r="H54" s="312"/>
      <c r="I54" s="312"/>
      <c r="J54" s="312"/>
      <c r="K54" s="312"/>
      <c r="L54" s="312"/>
      <c r="M54" s="312"/>
      <c r="N54" s="312"/>
      <c r="O54" s="313"/>
    </row>
    <row r="55" spans="1:37" ht="7.5" customHeight="1" x14ac:dyDescent="0.25">
      <c r="A55" s="217"/>
      <c r="B55" s="217"/>
      <c r="C55" s="217"/>
      <c r="D55" s="217"/>
      <c r="E55" s="217"/>
      <c r="F55" s="217"/>
      <c r="G55" s="217"/>
      <c r="H55" s="217"/>
      <c r="I55" s="217"/>
      <c r="J55" s="217"/>
      <c r="K55" s="217"/>
      <c r="L55" s="217"/>
      <c r="M55" s="217"/>
      <c r="N55" s="217"/>
      <c r="O55" s="217"/>
    </row>
    <row r="56" spans="1:37" s="196" customFormat="1" ht="18.600000000000001" customHeight="1" x14ac:dyDescent="0.3">
      <c r="A56" s="190" t="s">
        <v>901</v>
      </c>
      <c r="B56" s="191"/>
      <c r="C56" s="191"/>
      <c r="D56" s="191"/>
      <c r="E56" s="191"/>
      <c r="F56" s="192"/>
      <c r="G56" s="191"/>
      <c r="H56" s="191"/>
      <c r="I56" s="191"/>
      <c r="J56" s="191"/>
      <c r="K56" s="193"/>
      <c r="L56" s="194"/>
      <c r="M56" s="194"/>
      <c r="N56" s="195"/>
      <c r="O56" s="195"/>
      <c r="P56" s="218"/>
      <c r="Q56" s="218"/>
      <c r="R56" s="218"/>
      <c r="S56" s="218"/>
      <c r="T56" s="218"/>
      <c r="U56" s="218"/>
      <c r="V56" s="218"/>
      <c r="W56" s="218"/>
      <c r="X56" s="218"/>
      <c r="Y56" s="218"/>
      <c r="Z56" s="218"/>
      <c r="AA56" s="218"/>
      <c r="AB56" s="218"/>
      <c r="AC56" s="218"/>
      <c r="AD56" s="218"/>
      <c r="AE56" s="218"/>
      <c r="AF56" s="218"/>
      <c r="AG56" s="218"/>
      <c r="AH56" s="218"/>
      <c r="AI56" s="218"/>
      <c r="AJ56" s="218"/>
      <c r="AK56" s="218"/>
    </row>
    <row r="57" spans="1:37" ht="11.1" customHeight="1" x14ac:dyDescent="0.25"/>
  </sheetData>
  <sheetProtection selectLockedCells="1"/>
  <mergeCells count="67">
    <mergeCell ref="D29:I29"/>
    <mergeCell ref="J29:K29"/>
    <mergeCell ref="D24:I24"/>
    <mergeCell ref="J24:K24"/>
    <mergeCell ref="D25:I25"/>
    <mergeCell ref="J25:K25"/>
    <mergeCell ref="D26:I26"/>
    <mergeCell ref="J26:K26"/>
    <mergeCell ref="D22:I22"/>
    <mergeCell ref="J22:K22"/>
    <mergeCell ref="D23:I23"/>
    <mergeCell ref="J23:K23"/>
    <mergeCell ref="C28:G28"/>
    <mergeCell ref="J19:K19"/>
    <mergeCell ref="D20:I20"/>
    <mergeCell ref="J20:K20"/>
    <mergeCell ref="D21:I21"/>
    <mergeCell ref="J21:K21"/>
    <mergeCell ref="C31:F31"/>
    <mergeCell ref="D33:I33"/>
    <mergeCell ref="J32:K32"/>
    <mergeCell ref="C11:G11"/>
    <mergeCell ref="D12:I12"/>
    <mergeCell ref="J12:K12"/>
    <mergeCell ref="D13:I13"/>
    <mergeCell ref="J13:K13"/>
    <mergeCell ref="D14:I14"/>
    <mergeCell ref="J14:K14"/>
    <mergeCell ref="D15:I15"/>
    <mergeCell ref="J15:K15"/>
    <mergeCell ref="D16:I16"/>
    <mergeCell ref="J16:K16"/>
    <mergeCell ref="C18:G18"/>
    <mergeCell ref="D19:I19"/>
    <mergeCell ref="D8:I8"/>
    <mergeCell ref="D9:I9"/>
    <mergeCell ref="J7:K7"/>
    <mergeCell ref="J8:K8"/>
    <mergeCell ref="J9:K9"/>
    <mergeCell ref="D7:I7"/>
    <mergeCell ref="A4:O4"/>
    <mergeCell ref="A3:O3"/>
    <mergeCell ref="K1:O1"/>
    <mergeCell ref="A1:J1"/>
    <mergeCell ref="C6:L6"/>
    <mergeCell ref="J33:K33"/>
    <mergeCell ref="J34:K34"/>
    <mergeCell ref="D32:I32"/>
    <mergeCell ref="D34:I34"/>
    <mergeCell ref="C36:G36"/>
    <mergeCell ref="D37:I37"/>
    <mergeCell ref="D38:I38"/>
    <mergeCell ref="D40:I40"/>
    <mergeCell ref="D39:I39"/>
    <mergeCell ref="D41:I41"/>
    <mergeCell ref="J37:K37"/>
    <mergeCell ref="J38:K38"/>
    <mergeCell ref="J39:K39"/>
    <mergeCell ref="J40:K40"/>
    <mergeCell ref="J41:K41"/>
    <mergeCell ref="A48:O54"/>
    <mergeCell ref="J44:K44"/>
    <mergeCell ref="D44:I44"/>
    <mergeCell ref="D42:I42"/>
    <mergeCell ref="D43:I43"/>
    <mergeCell ref="J42:K42"/>
    <mergeCell ref="J43:K43"/>
  </mergeCells>
  <dataValidations xWindow="717" yWindow="479"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48:O54" xr:uid="{00000000-0002-0000-0200-000000000000}"/>
  </dataValidations>
  <printOptions horizontalCentered="1"/>
  <pageMargins left="0.2" right="0.2" top="0.25" bottom="0.25" header="0.3" footer="0.15"/>
  <pageSetup orientation="portrait" r:id="rId1"/>
  <headerFooter>
    <oddFooter>&amp;L&amp;F</oddFooter>
  </headerFooter>
  <rowBreaks count="1" manualBreakCount="1">
    <brk id="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U50"/>
  <sheetViews>
    <sheetView showGridLines="0" zoomScale="126" zoomScaleNormal="126" workbookViewId="0">
      <pane ySplit="5" topLeftCell="A11" activePane="bottomLeft" state="frozen"/>
      <selection pane="bottomLeft" activeCell="D29" sqref="D29"/>
    </sheetView>
  </sheetViews>
  <sheetFormatPr defaultRowHeight="13.2" x14ac:dyDescent="0.25"/>
  <cols>
    <col min="1" max="1" width="10.109375" style="39" customWidth="1"/>
    <col min="2" max="8" width="8.88671875" style="39"/>
    <col min="9" max="9" width="11" style="39" customWidth="1"/>
    <col min="10" max="21" width="8.88671875" style="39"/>
  </cols>
  <sheetData>
    <row r="1" spans="1:21" ht="15.6" x14ac:dyDescent="0.25">
      <c r="A1" s="397" t="s">
        <v>843</v>
      </c>
      <c r="B1" s="398"/>
      <c r="C1" s="398"/>
      <c r="D1" s="398"/>
      <c r="E1" s="398"/>
      <c r="F1" s="398"/>
      <c r="G1" s="320" t="str">
        <f>'CONTACT INFORMATION'!$A$24</f>
        <v>Alameda</v>
      </c>
      <c r="H1" s="320"/>
      <c r="I1" s="321"/>
    </row>
    <row r="2" spans="1:21" s="1" customFormat="1" ht="14.1" customHeight="1" x14ac:dyDescent="0.25">
      <c r="A2" s="168"/>
      <c r="B2" s="168"/>
      <c r="C2" s="168"/>
      <c r="D2" s="168"/>
      <c r="E2" s="168"/>
      <c r="F2" s="168"/>
      <c r="G2" s="169"/>
      <c r="H2" s="169"/>
      <c r="I2" s="169"/>
      <c r="J2" s="211"/>
      <c r="K2" s="211"/>
      <c r="L2" s="211"/>
      <c r="M2" s="211"/>
      <c r="N2" s="211"/>
      <c r="O2" s="211"/>
      <c r="P2" s="211"/>
      <c r="Q2" s="211"/>
      <c r="R2" s="211"/>
      <c r="S2" s="211"/>
      <c r="T2" s="211"/>
      <c r="U2" s="211"/>
    </row>
    <row r="3" spans="1:21" s="170" customFormat="1" ht="13.8" x14ac:dyDescent="0.25">
      <c r="A3" s="350" t="s">
        <v>925</v>
      </c>
      <c r="B3" s="351"/>
      <c r="C3" s="351"/>
      <c r="D3" s="351"/>
      <c r="E3" s="351"/>
      <c r="F3" s="351"/>
      <c r="G3" s="351"/>
      <c r="H3" s="351"/>
      <c r="I3" s="352"/>
      <c r="J3" s="219"/>
      <c r="K3" s="219"/>
      <c r="L3" s="219"/>
      <c r="M3" s="219"/>
      <c r="N3" s="219"/>
      <c r="O3" s="219"/>
      <c r="P3" s="219"/>
      <c r="Q3" s="219"/>
      <c r="R3" s="219"/>
      <c r="S3" s="219"/>
      <c r="T3" s="219"/>
      <c r="U3" s="219"/>
    </row>
    <row r="4" spans="1:21" s="170" customFormat="1" ht="14.4" thickBot="1" x14ac:dyDescent="0.3">
      <c r="A4" s="405" t="s">
        <v>883</v>
      </c>
      <c r="B4" s="406"/>
      <c r="C4" s="406"/>
      <c r="D4" s="406"/>
      <c r="E4" s="406"/>
      <c r="F4" s="406"/>
      <c r="G4" s="406"/>
      <c r="H4" s="406"/>
      <c r="I4" s="407"/>
      <c r="J4" s="219"/>
      <c r="K4" s="219"/>
      <c r="L4" s="219"/>
      <c r="M4" s="219"/>
      <c r="N4" s="219"/>
      <c r="O4" s="219"/>
      <c r="P4" s="219"/>
      <c r="Q4" s="219"/>
      <c r="R4" s="219"/>
      <c r="S4" s="219"/>
      <c r="T4" s="219"/>
      <c r="U4" s="219"/>
    </row>
    <row r="5" spans="1:21" s="199" customFormat="1" ht="21" customHeight="1" thickBot="1" x14ac:dyDescent="0.3">
      <c r="A5" s="408" t="s">
        <v>920</v>
      </c>
      <c r="B5" s="409"/>
      <c r="C5" s="409"/>
      <c r="D5" s="409"/>
      <c r="E5" s="409"/>
      <c r="F5" s="409"/>
      <c r="G5" s="409"/>
      <c r="H5" s="409"/>
      <c r="I5" s="410"/>
      <c r="J5" s="220"/>
      <c r="K5" s="220"/>
      <c r="L5" s="220"/>
      <c r="M5" s="220"/>
      <c r="N5" s="220"/>
      <c r="O5" s="220"/>
      <c r="P5" s="220"/>
      <c r="Q5" s="220"/>
      <c r="R5" s="220"/>
      <c r="S5" s="220"/>
      <c r="T5" s="220"/>
      <c r="U5" s="220"/>
    </row>
    <row r="6" spans="1:21" s="4" customFormat="1" ht="13.8" x14ac:dyDescent="0.25">
      <c r="A6" s="165"/>
      <c r="B6" s="177"/>
      <c r="C6" s="160"/>
      <c r="D6" s="160"/>
      <c r="E6" s="160"/>
      <c r="F6" s="160"/>
      <c r="G6" s="180"/>
      <c r="H6" s="180"/>
      <c r="I6" s="183"/>
      <c r="J6" s="45"/>
      <c r="K6" s="45"/>
      <c r="L6" s="45"/>
      <c r="M6" s="45"/>
      <c r="N6" s="45"/>
      <c r="O6" s="45"/>
      <c r="P6" s="45"/>
      <c r="Q6" s="45"/>
      <c r="R6" s="45"/>
      <c r="S6" s="45"/>
      <c r="T6" s="45"/>
      <c r="U6" s="45"/>
    </row>
    <row r="7" spans="1:21" s="4" customFormat="1" ht="13.8" x14ac:dyDescent="0.25">
      <c r="A7" s="165"/>
      <c r="B7" s="177"/>
      <c r="C7" s="160"/>
      <c r="D7" s="160"/>
      <c r="E7" s="160"/>
      <c r="F7" s="160"/>
      <c r="G7" s="180"/>
      <c r="H7" s="180"/>
      <c r="I7" s="183"/>
      <c r="J7" s="45"/>
      <c r="K7" s="45"/>
      <c r="L7" s="45"/>
      <c r="M7" s="45"/>
      <c r="N7" s="45"/>
      <c r="O7" s="45"/>
      <c r="P7" s="45"/>
      <c r="Q7" s="45"/>
      <c r="R7" s="45"/>
      <c r="S7" s="45"/>
      <c r="T7" s="45"/>
      <c r="U7" s="45"/>
    </row>
    <row r="8" spans="1:21" ht="13.8" x14ac:dyDescent="0.25">
      <c r="A8" s="165"/>
      <c r="B8" s="411" t="s">
        <v>870</v>
      </c>
      <c r="C8" s="411"/>
      <c r="D8" s="184"/>
      <c r="E8" s="412"/>
      <c r="F8" s="412"/>
      <c r="G8" s="412"/>
      <c r="H8" s="180"/>
      <c r="I8" s="183"/>
    </row>
    <row r="9" spans="1:21" ht="13.8" x14ac:dyDescent="0.25">
      <c r="A9" s="165"/>
      <c r="B9" s="206"/>
      <c r="C9" s="403" t="s">
        <v>871</v>
      </c>
      <c r="D9" s="403"/>
      <c r="E9" s="403"/>
      <c r="F9" s="403"/>
      <c r="G9" s="393">
        <v>542</v>
      </c>
      <c r="H9" s="393"/>
      <c r="I9" s="183"/>
    </row>
    <row r="10" spans="1:21" ht="13.8" x14ac:dyDescent="0.25">
      <c r="A10" s="165"/>
      <c r="B10" s="206"/>
      <c r="C10" s="404" t="s">
        <v>872</v>
      </c>
      <c r="D10" s="404"/>
      <c r="E10" s="404"/>
      <c r="F10" s="404"/>
      <c r="G10" s="402">
        <v>304</v>
      </c>
      <c r="H10" s="402"/>
      <c r="I10" s="183"/>
    </row>
    <row r="11" spans="1:21" ht="13.8" x14ac:dyDescent="0.25">
      <c r="A11" s="165"/>
      <c r="B11" s="206"/>
      <c r="C11" s="403" t="s">
        <v>873</v>
      </c>
      <c r="D11" s="403"/>
      <c r="E11" s="403"/>
      <c r="F11" s="403"/>
      <c r="G11" s="393">
        <v>46</v>
      </c>
      <c r="H11" s="393"/>
      <c r="I11" s="183"/>
    </row>
    <row r="12" spans="1:21" ht="14.4" x14ac:dyDescent="0.3">
      <c r="A12" s="165"/>
      <c r="B12" s="177"/>
      <c r="C12" s="303" t="s">
        <v>827</v>
      </c>
      <c r="D12" s="303"/>
      <c r="E12" s="303"/>
      <c r="F12" s="303"/>
      <c r="G12" s="399">
        <f>SUM(G9:H11)</f>
        <v>892</v>
      </c>
      <c r="H12" s="399"/>
      <c r="I12" s="183"/>
    </row>
    <row r="13" spans="1:21" ht="13.8" x14ac:dyDescent="0.25">
      <c r="A13" s="165"/>
      <c r="B13" s="177"/>
      <c r="C13" s="160"/>
      <c r="D13" s="160"/>
      <c r="E13" s="160"/>
      <c r="F13" s="160"/>
      <c r="G13" s="180"/>
      <c r="H13" s="180"/>
      <c r="I13" s="183"/>
    </row>
    <row r="14" spans="1:21" ht="13.8" x14ac:dyDescent="0.25">
      <c r="A14" s="91"/>
      <c r="B14" s="45"/>
      <c r="C14" s="137"/>
      <c r="D14" s="137"/>
      <c r="E14" s="137"/>
      <c r="F14" s="137"/>
      <c r="G14" s="97"/>
      <c r="H14" s="97"/>
      <c r="I14" s="98"/>
    </row>
    <row r="15" spans="1:21" ht="13.8" x14ac:dyDescent="0.25">
      <c r="A15" s="166"/>
      <c r="B15" s="400" t="s">
        <v>874</v>
      </c>
      <c r="C15" s="400"/>
      <c r="D15" s="400"/>
      <c r="E15" s="400"/>
      <c r="F15" s="400"/>
      <c r="G15" s="400"/>
      <c r="H15" s="400"/>
      <c r="I15" s="401"/>
    </row>
    <row r="16" spans="1:21" ht="13.8" x14ac:dyDescent="0.25">
      <c r="A16" s="102"/>
      <c r="B16" s="128"/>
      <c r="C16" s="302" t="s">
        <v>814</v>
      </c>
      <c r="D16" s="302"/>
      <c r="E16" s="302"/>
      <c r="F16" s="302"/>
      <c r="G16" s="393">
        <v>661</v>
      </c>
      <c r="H16" s="393"/>
      <c r="I16" s="98"/>
    </row>
    <row r="17" spans="1:9" ht="13.8" x14ac:dyDescent="0.25">
      <c r="A17" s="102"/>
      <c r="B17" s="128"/>
      <c r="C17" s="301" t="s">
        <v>815</v>
      </c>
      <c r="D17" s="301"/>
      <c r="E17" s="301"/>
      <c r="F17" s="301"/>
      <c r="G17" s="402">
        <v>231</v>
      </c>
      <c r="H17" s="402"/>
      <c r="I17" s="98"/>
    </row>
    <row r="18" spans="1:9" ht="14.4" x14ac:dyDescent="0.3">
      <c r="A18" s="102"/>
      <c r="B18" s="128"/>
      <c r="C18" s="303" t="s">
        <v>827</v>
      </c>
      <c r="D18" s="303"/>
      <c r="E18" s="303"/>
      <c r="F18" s="303"/>
      <c r="G18" s="413">
        <f>SUM(G16:H17)</f>
        <v>892</v>
      </c>
      <c r="H18" s="413"/>
      <c r="I18" s="98"/>
    </row>
    <row r="19" spans="1:9" ht="14.4" x14ac:dyDescent="0.3">
      <c r="A19" s="102"/>
      <c r="B19" s="128"/>
      <c r="C19" s="164"/>
      <c r="D19" s="164"/>
      <c r="E19" s="164"/>
      <c r="F19" s="164"/>
      <c r="G19" s="125"/>
      <c r="H19" s="125"/>
      <c r="I19" s="98"/>
    </row>
    <row r="20" spans="1:9" x14ac:dyDescent="0.25">
      <c r="A20" s="91"/>
      <c r="B20" s="45"/>
      <c r="C20" s="97"/>
      <c r="D20" s="97"/>
      <c r="E20" s="97"/>
      <c r="F20" s="97"/>
      <c r="G20" s="97"/>
      <c r="H20" s="97"/>
      <c r="I20" s="98"/>
    </row>
    <row r="21" spans="1:9" ht="13.8" x14ac:dyDescent="0.25">
      <c r="A21" s="166"/>
      <c r="B21" s="204" t="s">
        <v>850</v>
      </c>
      <c r="C21" s="204"/>
      <c r="D21" s="204"/>
      <c r="E21" s="204"/>
      <c r="F21" s="204"/>
      <c r="G21" s="204"/>
      <c r="H21" s="204"/>
      <c r="I21" s="167"/>
    </row>
    <row r="22" spans="1:9" ht="13.8" x14ac:dyDescent="0.25">
      <c r="A22" s="102"/>
      <c r="B22" s="128"/>
      <c r="C22" s="302" t="s">
        <v>819</v>
      </c>
      <c r="D22" s="302"/>
      <c r="E22" s="302"/>
      <c r="F22" s="302"/>
      <c r="G22" s="393">
        <v>475</v>
      </c>
      <c r="H22" s="393"/>
      <c r="I22" s="98"/>
    </row>
    <row r="23" spans="1:9" ht="13.8" x14ac:dyDescent="0.25">
      <c r="A23" s="102"/>
      <c r="B23" s="128"/>
      <c r="C23" s="301" t="s">
        <v>818</v>
      </c>
      <c r="D23" s="301"/>
      <c r="E23" s="301"/>
      <c r="F23" s="301"/>
      <c r="G23" s="414">
        <v>70</v>
      </c>
      <c r="H23" s="414"/>
      <c r="I23" s="98"/>
    </row>
    <row r="24" spans="1:9" ht="13.8" x14ac:dyDescent="0.25">
      <c r="A24" s="102"/>
      <c r="B24" s="128"/>
      <c r="C24" s="302" t="s">
        <v>817</v>
      </c>
      <c r="D24" s="302"/>
      <c r="E24" s="302"/>
      <c r="F24" s="302"/>
      <c r="G24" s="393">
        <v>267</v>
      </c>
      <c r="H24" s="393"/>
      <c r="I24" s="98"/>
    </row>
    <row r="25" spans="1:9" ht="13.8" x14ac:dyDescent="0.25">
      <c r="A25" s="102"/>
      <c r="B25" s="128"/>
      <c r="C25" s="316" t="s">
        <v>512</v>
      </c>
      <c r="D25" s="316"/>
      <c r="E25" s="316"/>
      <c r="F25" s="316"/>
      <c r="G25" s="402">
        <v>80</v>
      </c>
      <c r="H25" s="402"/>
      <c r="I25" s="98"/>
    </row>
    <row r="26" spans="1:9" ht="14.4" x14ac:dyDescent="0.3">
      <c r="A26" s="102"/>
      <c r="B26" s="128"/>
      <c r="C26" s="303" t="s">
        <v>827</v>
      </c>
      <c r="D26" s="303"/>
      <c r="E26" s="303"/>
      <c r="F26" s="303"/>
      <c r="G26" s="413">
        <f>SUM(G22:H25)</f>
        <v>892</v>
      </c>
      <c r="H26" s="413"/>
      <c r="I26" s="140"/>
    </row>
    <row r="27" spans="1:9" x14ac:dyDescent="0.25">
      <c r="A27" s="102"/>
      <c r="B27" s="128"/>
      <c r="C27" s="128"/>
      <c r="D27" s="141"/>
      <c r="E27" s="141"/>
      <c r="F27" s="141"/>
      <c r="G27" s="141"/>
      <c r="H27" s="141"/>
      <c r="I27" s="142"/>
    </row>
    <row r="28" spans="1:9" x14ac:dyDescent="0.25">
      <c r="A28" s="102"/>
      <c r="B28" s="128"/>
      <c r="C28" s="128"/>
      <c r="D28" s="141"/>
      <c r="E28" s="141"/>
      <c r="F28" s="141"/>
      <c r="G28" s="141"/>
      <c r="H28" s="141"/>
      <c r="I28" s="142"/>
    </row>
    <row r="29" spans="1:9" x14ac:dyDescent="0.25">
      <c r="A29" s="103"/>
      <c r="B29" s="144"/>
      <c r="C29" s="144"/>
      <c r="D29" s="145"/>
      <c r="E29" s="145"/>
      <c r="F29" s="145"/>
      <c r="G29" s="145"/>
      <c r="H29" s="145"/>
      <c r="I29" s="146"/>
    </row>
    <row r="30" spans="1:9" x14ac:dyDescent="0.25">
      <c r="A30" s="128"/>
      <c r="B30" s="128"/>
      <c r="C30" s="128"/>
      <c r="D30" s="141"/>
      <c r="E30" s="141"/>
      <c r="F30" s="141"/>
      <c r="G30" s="141"/>
      <c r="H30" s="141"/>
      <c r="I30" s="141"/>
    </row>
    <row r="31" spans="1:9" ht="14.4" customHeight="1" x14ac:dyDescent="0.25"/>
    <row r="32" spans="1:9" ht="14.1" customHeight="1" x14ac:dyDescent="0.25">
      <c r="A32" s="189" t="s">
        <v>888</v>
      </c>
    </row>
    <row r="33" spans="1:9" x14ac:dyDescent="0.25">
      <c r="A33" s="305"/>
      <c r="B33" s="306"/>
      <c r="C33" s="306"/>
      <c r="D33" s="306"/>
      <c r="E33" s="306"/>
      <c r="F33" s="306"/>
      <c r="G33" s="306"/>
      <c r="H33" s="306"/>
      <c r="I33" s="307"/>
    </row>
    <row r="34" spans="1:9" x14ac:dyDescent="0.25">
      <c r="A34" s="308"/>
      <c r="B34" s="309"/>
      <c r="C34" s="309"/>
      <c r="D34" s="309"/>
      <c r="E34" s="309"/>
      <c r="F34" s="309"/>
      <c r="G34" s="309"/>
      <c r="H34" s="309"/>
      <c r="I34" s="310"/>
    </row>
    <row r="35" spans="1:9" x14ac:dyDescent="0.25">
      <c r="A35" s="308"/>
      <c r="B35" s="309"/>
      <c r="C35" s="309"/>
      <c r="D35" s="309"/>
      <c r="E35" s="309"/>
      <c r="F35" s="309"/>
      <c r="G35" s="309"/>
      <c r="H35" s="309"/>
      <c r="I35" s="310"/>
    </row>
    <row r="36" spans="1:9" x14ac:dyDescent="0.25">
      <c r="A36" s="308"/>
      <c r="B36" s="309"/>
      <c r="C36" s="309"/>
      <c r="D36" s="309"/>
      <c r="E36" s="309"/>
      <c r="F36" s="309"/>
      <c r="G36" s="309"/>
      <c r="H36" s="309"/>
      <c r="I36" s="310"/>
    </row>
    <row r="37" spans="1:9" x14ac:dyDescent="0.25">
      <c r="A37" s="308"/>
      <c r="B37" s="309"/>
      <c r="C37" s="309"/>
      <c r="D37" s="309"/>
      <c r="E37" s="309"/>
      <c r="F37" s="309"/>
      <c r="G37" s="309"/>
      <c r="H37" s="309"/>
      <c r="I37" s="310"/>
    </row>
    <row r="38" spans="1:9" x14ac:dyDescent="0.25">
      <c r="A38" s="308"/>
      <c r="B38" s="309"/>
      <c r="C38" s="309"/>
      <c r="D38" s="309"/>
      <c r="E38" s="309"/>
      <c r="F38" s="309"/>
      <c r="G38" s="309"/>
      <c r="H38" s="309"/>
      <c r="I38" s="310"/>
    </row>
    <row r="39" spans="1:9" x14ac:dyDescent="0.25">
      <c r="A39" s="308"/>
      <c r="B39" s="309"/>
      <c r="C39" s="309"/>
      <c r="D39" s="309"/>
      <c r="E39" s="309"/>
      <c r="F39" s="309"/>
      <c r="G39" s="309"/>
      <c r="H39" s="309"/>
      <c r="I39" s="310"/>
    </row>
    <row r="40" spans="1:9" x14ac:dyDescent="0.25">
      <c r="A40" s="308"/>
      <c r="B40" s="309"/>
      <c r="C40" s="309"/>
      <c r="D40" s="309"/>
      <c r="E40" s="309"/>
      <c r="F40" s="309"/>
      <c r="G40" s="309"/>
      <c r="H40" s="309"/>
      <c r="I40" s="310"/>
    </row>
    <row r="41" spans="1:9" x14ac:dyDescent="0.25">
      <c r="A41" s="308"/>
      <c r="B41" s="309"/>
      <c r="C41" s="309"/>
      <c r="D41" s="309"/>
      <c r="E41" s="309"/>
      <c r="F41" s="309"/>
      <c r="G41" s="309"/>
      <c r="H41" s="309"/>
      <c r="I41" s="310"/>
    </row>
    <row r="42" spans="1:9" x14ac:dyDescent="0.25">
      <c r="A42" s="308"/>
      <c r="B42" s="309"/>
      <c r="C42" s="309"/>
      <c r="D42" s="309"/>
      <c r="E42" s="309"/>
      <c r="F42" s="309"/>
      <c r="G42" s="309"/>
      <c r="H42" s="309"/>
      <c r="I42" s="310"/>
    </row>
    <row r="43" spans="1:9" x14ac:dyDescent="0.25">
      <c r="A43" s="308"/>
      <c r="B43" s="309"/>
      <c r="C43" s="309"/>
      <c r="D43" s="309"/>
      <c r="E43" s="309"/>
      <c r="F43" s="309"/>
      <c r="G43" s="309"/>
      <c r="H43" s="309"/>
      <c r="I43" s="310"/>
    </row>
    <row r="44" spans="1:9" x14ac:dyDescent="0.25">
      <c r="A44" s="308"/>
      <c r="B44" s="309"/>
      <c r="C44" s="309"/>
      <c r="D44" s="309"/>
      <c r="E44" s="309"/>
      <c r="F44" s="309"/>
      <c r="G44" s="309"/>
      <c r="H44" s="309"/>
      <c r="I44" s="310"/>
    </row>
    <row r="45" spans="1:9" x14ac:dyDescent="0.25">
      <c r="A45" s="308"/>
      <c r="B45" s="309"/>
      <c r="C45" s="309"/>
      <c r="D45" s="309"/>
      <c r="E45" s="309"/>
      <c r="F45" s="309"/>
      <c r="G45" s="309"/>
      <c r="H45" s="309"/>
      <c r="I45" s="310"/>
    </row>
    <row r="46" spans="1:9" x14ac:dyDescent="0.25">
      <c r="A46" s="308"/>
      <c r="B46" s="309"/>
      <c r="C46" s="309"/>
      <c r="D46" s="309"/>
      <c r="E46" s="309"/>
      <c r="F46" s="309"/>
      <c r="G46" s="309"/>
      <c r="H46" s="309"/>
      <c r="I46" s="310"/>
    </row>
    <row r="47" spans="1:9" x14ac:dyDescent="0.25">
      <c r="A47" s="308"/>
      <c r="B47" s="309"/>
      <c r="C47" s="309"/>
      <c r="D47" s="309"/>
      <c r="E47" s="309"/>
      <c r="F47" s="309"/>
      <c r="G47" s="309"/>
      <c r="H47" s="309"/>
      <c r="I47" s="310"/>
    </row>
    <row r="48" spans="1:9" x14ac:dyDescent="0.25">
      <c r="A48" s="308"/>
      <c r="B48" s="309"/>
      <c r="C48" s="309"/>
      <c r="D48" s="309"/>
      <c r="E48" s="309"/>
      <c r="F48" s="309"/>
      <c r="G48" s="309"/>
      <c r="H48" s="309"/>
      <c r="I48" s="310"/>
    </row>
    <row r="49" spans="1:9" x14ac:dyDescent="0.25">
      <c r="A49" s="308"/>
      <c r="B49" s="309"/>
      <c r="C49" s="309"/>
      <c r="D49" s="309"/>
      <c r="E49" s="309"/>
      <c r="F49" s="309"/>
      <c r="G49" s="309"/>
      <c r="H49" s="309"/>
      <c r="I49" s="310"/>
    </row>
    <row r="50" spans="1:9" x14ac:dyDescent="0.25">
      <c r="A50" s="311"/>
      <c r="B50" s="312"/>
      <c r="C50" s="312"/>
      <c r="D50" s="312"/>
      <c r="E50" s="312"/>
      <c r="F50" s="312"/>
      <c r="G50" s="312"/>
      <c r="H50" s="312"/>
      <c r="I50" s="313"/>
    </row>
  </sheetData>
  <sheetProtection selectLockedCells="1"/>
  <mergeCells count="33">
    <mergeCell ref="C26:F26"/>
    <mergeCell ref="G26:H26"/>
    <mergeCell ref="C18:F18"/>
    <mergeCell ref="G18:H18"/>
    <mergeCell ref="C22:F22"/>
    <mergeCell ref="G22:H22"/>
    <mergeCell ref="C23:F23"/>
    <mergeCell ref="G23:H23"/>
    <mergeCell ref="A4:I4"/>
    <mergeCell ref="C25:F25"/>
    <mergeCell ref="G25:H25"/>
    <mergeCell ref="A5:I5"/>
    <mergeCell ref="G10:H10"/>
    <mergeCell ref="C11:F11"/>
    <mergeCell ref="G11:H11"/>
    <mergeCell ref="B8:C8"/>
    <mergeCell ref="E8:G8"/>
    <mergeCell ref="A33:I50"/>
    <mergeCell ref="G1:I1"/>
    <mergeCell ref="A1:F1"/>
    <mergeCell ref="C24:F24"/>
    <mergeCell ref="G24:H24"/>
    <mergeCell ref="C12:F12"/>
    <mergeCell ref="G12:H12"/>
    <mergeCell ref="B15:I15"/>
    <mergeCell ref="C16:F16"/>
    <mergeCell ref="G16:H16"/>
    <mergeCell ref="C17:F17"/>
    <mergeCell ref="G17:H17"/>
    <mergeCell ref="C9:F9"/>
    <mergeCell ref="G9:H9"/>
    <mergeCell ref="C10:F10"/>
    <mergeCell ref="A3:I3"/>
  </mergeCells>
  <dataValidations xWindow="640" yWindow="448"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33" xr:uid="{00000000-0002-0000-0300-000000000000}"/>
  </dataValidations>
  <hyperlinks>
    <hyperlink ref="A5" r:id="rId1" xr:uid="{00000000-0004-0000-0300-000000000000}"/>
  </hyperlinks>
  <pageMargins left="0.7" right="0.7" top="0.75" bottom="0.5" header="0.3" footer="0.3"/>
  <pageSetup orientation="portrait" r:id="rId2"/>
  <headerFooter>
    <oddFooter>&amp;L&amp;F</oddFooter>
  </headerFooter>
  <ignoredErrors>
    <ignoredError sqref="G12"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88"/>
  <sheetViews>
    <sheetView showGridLines="0" zoomScale="126" zoomScaleNormal="126" workbookViewId="0">
      <selection activeCell="A8" sqref="A8:J56"/>
    </sheetView>
  </sheetViews>
  <sheetFormatPr defaultColWidth="9.109375" defaultRowHeight="13.2" x14ac:dyDescent="0.25"/>
  <cols>
    <col min="1" max="11" width="9.109375" style="45"/>
    <col min="12" max="16384" width="9.109375" style="39"/>
  </cols>
  <sheetData>
    <row r="1" spans="1:15" ht="15.6" x14ac:dyDescent="0.3">
      <c r="A1" s="355" t="s">
        <v>846</v>
      </c>
      <c r="B1" s="356"/>
      <c r="C1" s="356"/>
      <c r="D1" s="356"/>
      <c r="E1" s="356"/>
      <c r="F1" s="356"/>
      <c r="G1" s="356"/>
      <c r="H1" s="353" t="str">
        <f>'CONTACT INFORMATION'!$A$24</f>
        <v>Alameda</v>
      </c>
      <c r="I1" s="353"/>
      <c r="J1" s="354"/>
      <c r="K1" s="159"/>
      <c r="L1" s="189"/>
    </row>
    <row r="2" spans="1:15" ht="7.5" customHeight="1" x14ac:dyDescent="0.3">
      <c r="A2" s="57"/>
      <c r="B2" s="57"/>
      <c r="C2" s="57"/>
      <c r="D2" s="57"/>
      <c r="E2" s="57"/>
      <c r="F2" s="57"/>
      <c r="G2" s="57"/>
      <c r="H2" s="57"/>
      <c r="I2" s="57"/>
      <c r="J2" s="57"/>
      <c r="K2" s="223"/>
      <c r="L2" s="189"/>
    </row>
    <row r="3" spans="1:15" ht="13.8" x14ac:dyDescent="0.25">
      <c r="A3" s="424" t="s">
        <v>884</v>
      </c>
      <c r="B3" s="425"/>
      <c r="C3" s="425"/>
      <c r="D3" s="425"/>
      <c r="E3" s="425"/>
      <c r="F3" s="425"/>
      <c r="G3" s="425"/>
      <c r="H3" s="425"/>
      <c r="I3" s="425"/>
      <c r="J3" s="426"/>
    </row>
    <row r="4" spans="1:15" s="211" customFormat="1" ht="13.8" x14ac:dyDescent="0.25">
      <c r="A4" s="224"/>
      <c r="B4" s="185"/>
      <c r="C4" s="185"/>
      <c r="D4" s="185"/>
      <c r="E4" s="185"/>
      <c r="F4" s="185"/>
      <c r="G4" s="185"/>
      <c r="H4" s="185"/>
      <c r="I4" s="185"/>
      <c r="J4" s="186"/>
      <c r="K4" s="128"/>
    </row>
    <row r="5" spans="1:15" s="211" customFormat="1" ht="15" customHeight="1" x14ac:dyDescent="0.25">
      <c r="A5" s="427" t="s">
        <v>837</v>
      </c>
      <c r="B5" s="428"/>
      <c r="C5" s="428"/>
      <c r="D5" s="428"/>
      <c r="E5" s="428"/>
      <c r="F5" s="428"/>
      <c r="G5" s="428"/>
      <c r="H5" s="428"/>
      <c r="I5" s="428"/>
      <c r="J5" s="429"/>
      <c r="K5" s="128"/>
    </row>
    <row r="6" spans="1:15" s="211" customFormat="1" ht="15" customHeight="1" x14ac:dyDescent="0.25">
      <c r="A6" s="430"/>
      <c r="B6" s="431"/>
      <c r="C6" s="431"/>
      <c r="D6" s="431"/>
      <c r="E6" s="431"/>
      <c r="F6" s="431"/>
      <c r="G6" s="431"/>
      <c r="H6" s="431"/>
      <c r="I6" s="431"/>
      <c r="J6" s="432"/>
      <c r="K6" s="128"/>
    </row>
    <row r="7" spans="1:15" s="211" customFormat="1" ht="15" customHeight="1" x14ac:dyDescent="0.25">
      <c r="A7" s="433"/>
      <c r="B7" s="434"/>
      <c r="C7" s="434"/>
      <c r="D7" s="434"/>
      <c r="E7" s="434"/>
      <c r="F7" s="434"/>
      <c r="G7" s="434"/>
      <c r="H7" s="434"/>
      <c r="I7" s="434"/>
      <c r="J7" s="435"/>
      <c r="K7" s="128"/>
    </row>
    <row r="8" spans="1:15" s="211" customFormat="1" ht="15" customHeight="1" x14ac:dyDescent="0.25">
      <c r="A8" s="415" t="s">
        <v>995</v>
      </c>
      <c r="B8" s="416"/>
      <c r="C8" s="416"/>
      <c r="D8" s="416"/>
      <c r="E8" s="416"/>
      <c r="F8" s="416"/>
      <c r="G8" s="416"/>
      <c r="H8" s="416"/>
      <c r="I8" s="416"/>
      <c r="J8" s="417"/>
      <c r="K8" s="128"/>
      <c r="O8" s="225"/>
    </row>
    <row r="9" spans="1:15" s="211" customFormat="1" ht="15" customHeight="1" x14ac:dyDescent="0.25">
      <c r="A9" s="418"/>
      <c r="B9" s="419"/>
      <c r="C9" s="419"/>
      <c r="D9" s="419"/>
      <c r="E9" s="419"/>
      <c r="F9" s="419"/>
      <c r="G9" s="419"/>
      <c r="H9" s="419"/>
      <c r="I9" s="419"/>
      <c r="J9" s="420"/>
      <c r="K9" s="128"/>
    </row>
    <row r="10" spans="1:15" ht="14.25" customHeight="1" x14ac:dyDescent="0.25">
      <c r="A10" s="418"/>
      <c r="B10" s="419"/>
      <c r="C10" s="419"/>
      <c r="D10" s="419"/>
      <c r="E10" s="419"/>
      <c r="F10" s="419"/>
      <c r="G10" s="419"/>
      <c r="H10" s="419"/>
      <c r="I10" s="419"/>
      <c r="J10" s="420"/>
    </row>
    <row r="11" spans="1:15" x14ac:dyDescent="0.25">
      <c r="A11" s="418"/>
      <c r="B11" s="419"/>
      <c r="C11" s="419"/>
      <c r="D11" s="419"/>
      <c r="E11" s="419"/>
      <c r="F11" s="419"/>
      <c r="G11" s="419"/>
      <c r="H11" s="419"/>
      <c r="I11" s="419"/>
      <c r="J11" s="420"/>
    </row>
    <row r="12" spans="1:15" x14ac:dyDescent="0.25">
      <c r="A12" s="418"/>
      <c r="B12" s="419"/>
      <c r="C12" s="419"/>
      <c r="D12" s="419"/>
      <c r="E12" s="419"/>
      <c r="F12" s="419"/>
      <c r="G12" s="419"/>
      <c r="H12" s="419"/>
      <c r="I12" s="419"/>
      <c r="J12" s="420"/>
    </row>
    <row r="13" spans="1:15" x14ac:dyDescent="0.25">
      <c r="A13" s="418"/>
      <c r="B13" s="419"/>
      <c r="C13" s="419"/>
      <c r="D13" s="419"/>
      <c r="E13" s="419"/>
      <c r="F13" s="419"/>
      <c r="G13" s="419"/>
      <c r="H13" s="419"/>
      <c r="I13" s="419"/>
      <c r="J13" s="420"/>
    </row>
    <row r="14" spans="1:15" x14ac:dyDescent="0.25">
      <c r="A14" s="418"/>
      <c r="B14" s="419"/>
      <c r="C14" s="419"/>
      <c r="D14" s="419"/>
      <c r="E14" s="419"/>
      <c r="F14" s="419"/>
      <c r="G14" s="419"/>
      <c r="H14" s="419"/>
      <c r="I14" s="419"/>
      <c r="J14" s="420"/>
    </row>
    <row r="15" spans="1:15" x14ac:dyDescent="0.25">
      <c r="A15" s="418"/>
      <c r="B15" s="419"/>
      <c r="C15" s="419"/>
      <c r="D15" s="419"/>
      <c r="E15" s="419"/>
      <c r="F15" s="419"/>
      <c r="G15" s="419"/>
      <c r="H15" s="419"/>
      <c r="I15" s="419"/>
      <c r="J15" s="420"/>
    </row>
    <row r="16" spans="1:15" x14ac:dyDescent="0.25">
      <c r="A16" s="418"/>
      <c r="B16" s="419"/>
      <c r="C16" s="419"/>
      <c r="D16" s="419"/>
      <c r="E16" s="419"/>
      <c r="F16" s="419"/>
      <c r="G16" s="419"/>
      <c r="H16" s="419"/>
      <c r="I16" s="419"/>
      <c r="J16" s="420"/>
    </row>
    <row r="17" spans="1:10" x14ac:dyDescent="0.25">
      <c r="A17" s="418"/>
      <c r="B17" s="419"/>
      <c r="C17" s="419"/>
      <c r="D17" s="419"/>
      <c r="E17" s="419"/>
      <c r="F17" s="419"/>
      <c r="G17" s="419"/>
      <c r="H17" s="419"/>
      <c r="I17" s="419"/>
      <c r="J17" s="420"/>
    </row>
    <row r="18" spans="1:10" x14ac:dyDescent="0.25">
      <c r="A18" s="418"/>
      <c r="B18" s="419"/>
      <c r="C18" s="419"/>
      <c r="D18" s="419"/>
      <c r="E18" s="419"/>
      <c r="F18" s="419"/>
      <c r="G18" s="419"/>
      <c r="H18" s="419"/>
      <c r="I18" s="419"/>
      <c r="J18" s="420"/>
    </row>
    <row r="19" spans="1:10" x14ac:dyDescent="0.25">
      <c r="A19" s="418"/>
      <c r="B19" s="419"/>
      <c r="C19" s="419"/>
      <c r="D19" s="419"/>
      <c r="E19" s="419"/>
      <c r="F19" s="419"/>
      <c r="G19" s="419"/>
      <c r="H19" s="419"/>
      <c r="I19" s="419"/>
      <c r="J19" s="420"/>
    </row>
    <row r="20" spans="1:10" x14ac:dyDescent="0.25">
      <c r="A20" s="418"/>
      <c r="B20" s="419"/>
      <c r="C20" s="419"/>
      <c r="D20" s="419"/>
      <c r="E20" s="419"/>
      <c r="F20" s="419"/>
      <c r="G20" s="419"/>
      <c r="H20" s="419"/>
      <c r="I20" s="419"/>
      <c r="J20" s="420"/>
    </row>
    <row r="21" spans="1:10" x14ac:dyDescent="0.25">
      <c r="A21" s="418"/>
      <c r="B21" s="419"/>
      <c r="C21" s="419"/>
      <c r="D21" s="419"/>
      <c r="E21" s="419"/>
      <c r="F21" s="419"/>
      <c r="G21" s="419"/>
      <c r="H21" s="419"/>
      <c r="I21" s="419"/>
      <c r="J21" s="420"/>
    </row>
    <row r="22" spans="1:10" x14ac:dyDescent="0.25">
      <c r="A22" s="418"/>
      <c r="B22" s="419"/>
      <c r="C22" s="419"/>
      <c r="D22" s="419"/>
      <c r="E22" s="419"/>
      <c r="F22" s="419"/>
      <c r="G22" s="419"/>
      <c r="H22" s="419"/>
      <c r="I22" s="419"/>
      <c r="J22" s="420"/>
    </row>
    <row r="23" spans="1:10" x14ac:dyDescent="0.25">
      <c r="A23" s="418"/>
      <c r="B23" s="419"/>
      <c r="C23" s="419"/>
      <c r="D23" s="419"/>
      <c r="E23" s="419"/>
      <c r="F23" s="419"/>
      <c r="G23" s="419"/>
      <c r="H23" s="419"/>
      <c r="I23" s="419"/>
      <c r="J23" s="420"/>
    </row>
    <row r="24" spans="1:10" x14ac:dyDescent="0.25">
      <c r="A24" s="418"/>
      <c r="B24" s="419"/>
      <c r="C24" s="419"/>
      <c r="D24" s="419"/>
      <c r="E24" s="419"/>
      <c r="F24" s="419"/>
      <c r="G24" s="419"/>
      <c r="H24" s="419"/>
      <c r="I24" s="419"/>
      <c r="J24" s="420"/>
    </row>
    <row r="25" spans="1:10" x14ac:dyDescent="0.25">
      <c r="A25" s="418"/>
      <c r="B25" s="419"/>
      <c r="C25" s="419"/>
      <c r="D25" s="419"/>
      <c r="E25" s="419"/>
      <c r="F25" s="419"/>
      <c r="G25" s="419"/>
      <c r="H25" s="419"/>
      <c r="I25" s="419"/>
      <c r="J25" s="420"/>
    </row>
    <row r="26" spans="1:10" x14ac:dyDescent="0.25">
      <c r="A26" s="418"/>
      <c r="B26" s="419"/>
      <c r="C26" s="419"/>
      <c r="D26" s="419"/>
      <c r="E26" s="419"/>
      <c r="F26" s="419"/>
      <c r="G26" s="419"/>
      <c r="H26" s="419"/>
      <c r="I26" s="419"/>
      <c r="J26" s="420"/>
    </row>
    <row r="27" spans="1:10" x14ac:dyDescent="0.25">
      <c r="A27" s="418"/>
      <c r="B27" s="419"/>
      <c r="C27" s="419"/>
      <c r="D27" s="419"/>
      <c r="E27" s="419"/>
      <c r="F27" s="419"/>
      <c r="G27" s="419"/>
      <c r="H27" s="419"/>
      <c r="I27" s="419"/>
      <c r="J27" s="420"/>
    </row>
    <row r="28" spans="1:10" x14ac:dyDescent="0.25">
      <c r="A28" s="418"/>
      <c r="B28" s="419"/>
      <c r="C28" s="419"/>
      <c r="D28" s="419"/>
      <c r="E28" s="419"/>
      <c r="F28" s="419"/>
      <c r="G28" s="419"/>
      <c r="H28" s="419"/>
      <c r="I28" s="419"/>
      <c r="J28" s="420"/>
    </row>
    <row r="29" spans="1:10" x14ac:dyDescent="0.25">
      <c r="A29" s="418"/>
      <c r="B29" s="419"/>
      <c r="C29" s="419"/>
      <c r="D29" s="419"/>
      <c r="E29" s="419"/>
      <c r="F29" s="419"/>
      <c r="G29" s="419"/>
      <c r="H29" s="419"/>
      <c r="I29" s="419"/>
      <c r="J29" s="420"/>
    </row>
    <row r="30" spans="1:10" x14ac:dyDescent="0.25">
      <c r="A30" s="418"/>
      <c r="B30" s="419"/>
      <c r="C30" s="419"/>
      <c r="D30" s="419"/>
      <c r="E30" s="419"/>
      <c r="F30" s="419"/>
      <c r="G30" s="419"/>
      <c r="H30" s="419"/>
      <c r="I30" s="419"/>
      <c r="J30" s="420"/>
    </row>
    <row r="31" spans="1:10" x14ac:dyDescent="0.25">
      <c r="A31" s="418"/>
      <c r="B31" s="419"/>
      <c r="C31" s="419"/>
      <c r="D31" s="419"/>
      <c r="E31" s="419"/>
      <c r="F31" s="419"/>
      <c r="G31" s="419"/>
      <c r="H31" s="419"/>
      <c r="I31" s="419"/>
      <c r="J31" s="420"/>
    </row>
    <row r="32" spans="1:10" x14ac:dyDescent="0.25">
      <c r="A32" s="418"/>
      <c r="B32" s="419"/>
      <c r="C32" s="419"/>
      <c r="D32" s="419"/>
      <c r="E32" s="419"/>
      <c r="F32" s="419"/>
      <c r="G32" s="419"/>
      <c r="H32" s="419"/>
      <c r="I32" s="419"/>
      <c r="J32" s="420"/>
    </row>
    <row r="33" spans="1:10" x14ac:dyDescent="0.25">
      <c r="A33" s="418"/>
      <c r="B33" s="419"/>
      <c r="C33" s="419"/>
      <c r="D33" s="419"/>
      <c r="E33" s="419"/>
      <c r="F33" s="419"/>
      <c r="G33" s="419"/>
      <c r="H33" s="419"/>
      <c r="I33" s="419"/>
      <c r="J33" s="420"/>
    </row>
    <row r="34" spans="1:10" x14ac:dyDescent="0.25">
      <c r="A34" s="418"/>
      <c r="B34" s="419"/>
      <c r="C34" s="419"/>
      <c r="D34" s="419"/>
      <c r="E34" s="419"/>
      <c r="F34" s="419"/>
      <c r="G34" s="419"/>
      <c r="H34" s="419"/>
      <c r="I34" s="419"/>
      <c r="J34" s="420"/>
    </row>
    <row r="35" spans="1:10" x14ac:dyDescent="0.25">
      <c r="A35" s="418"/>
      <c r="B35" s="419"/>
      <c r="C35" s="419"/>
      <c r="D35" s="419"/>
      <c r="E35" s="419"/>
      <c r="F35" s="419"/>
      <c r="G35" s="419"/>
      <c r="H35" s="419"/>
      <c r="I35" s="419"/>
      <c r="J35" s="420"/>
    </row>
    <row r="36" spans="1:10" x14ac:dyDescent="0.25">
      <c r="A36" s="418"/>
      <c r="B36" s="419"/>
      <c r="C36" s="419"/>
      <c r="D36" s="419"/>
      <c r="E36" s="419"/>
      <c r="F36" s="419"/>
      <c r="G36" s="419"/>
      <c r="H36" s="419"/>
      <c r="I36" s="419"/>
      <c r="J36" s="420"/>
    </row>
    <row r="37" spans="1:10" x14ac:dyDescent="0.25">
      <c r="A37" s="418"/>
      <c r="B37" s="419"/>
      <c r="C37" s="419"/>
      <c r="D37" s="419"/>
      <c r="E37" s="419"/>
      <c r="F37" s="419"/>
      <c r="G37" s="419"/>
      <c r="H37" s="419"/>
      <c r="I37" s="419"/>
      <c r="J37" s="420"/>
    </row>
    <row r="38" spans="1:10" x14ac:dyDescent="0.25">
      <c r="A38" s="418"/>
      <c r="B38" s="419"/>
      <c r="C38" s="419"/>
      <c r="D38" s="419"/>
      <c r="E38" s="419"/>
      <c r="F38" s="419"/>
      <c r="G38" s="419"/>
      <c r="H38" s="419"/>
      <c r="I38" s="419"/>
      <c r="J38" s="420"/>
    </row>
    <row r="39" spans="1:10" x14ac:dyDescent="0.25">
      <c r="A39" s="418"/>
      <c r="B39" s="419"/>
      <c r="C39" s="419"/>
      <c r="D39" s="419"/>
      <c r="E39" s="419"/>
      <c r="F39" s="419"/>
      <c r="G39" s="419"/>
      <c r="H39" s="419"/>
      <c r="I39" s="419"/>
      <c r="J39" s="420"/>
    </row>
    <row r="40" spans="1:10" x14ac:dyDescent="0.25">
      <c r="A40" s="418"/>
      <c r="B40" s="419"/>
      <c r="C40" s="419"/>
      <c r="D40" s="419"/>
      <c r="E40" s="419"/>
      <c r="F40" s="419"/>
      <c r="G40" s="419"/>
      <c r="H40" s="419"/>
      <c r="I40" s="419"/>
      <c r="J40" s="420"/>
    </row>
    <row r="41" spans="1:10" x14ac:dyDescent="0.25">
      <c r="A41" s="418"/>
      <c r="B41" s="419"/>
      <c r="C41" s="419"/>
      <c r="D41" s="419"/>
      <c r="E41" s="419"/>
      <c r="F41" s="419"/>
      <c r="G41" s="419"/>
      <c r="H41" s="419"/>
      <c r="I41" s="419"/>
      <c r="J41" s="420"/>
    </row>
    <row r="42" spans="1:10" x14ac:dyDescent="0.25">
      <c r="A42" s="418"/>
      <c r="B42" s="419"/>
      <c r="C42" s="419"/>
      <c r="D42" s="419"/>
      <c r="E42" s="419"/>
      <c r="F42" s="419"/>
      <c r="G42" s="419"/>
      <c r="H42" s="419"/>
      <c r="I42" s="419"/>
      <c r="J42" s="420"/>
    </row>
    <row r="43" spans="1:10" x14ac:dyDescent="0.25">
      <c r="A43" s="418"/>
      <c r="B43" s="419"/>
      <c r="C43" s="419"/>
      <c r="D43" s="419"/>
      <c r="E43" s="419"/>
      <c r="F43" s="419"/>
      <c r="G43" s="419"/>
      <c r="H43" s="419"/>
      <c r="I43" s="419"/>
      <c r="J43" s="420"/>
    </row>
    <row r="44" spans="1:10" x14ac:dyDescent="0.25">
      <c r="A44" s="418"/>
      <c r="B44" s="419"/>
      <c r="C44" s="419"/>
      <c r="D44" s="419"/>
      <c r="E44" s="419"/>
      <c r="F44" s="419"/>
      <c r="G44" s="419"/>
      <c r="H44" s="419"/>
      <c r="I44" s="419"/>
      <c r="J44" s="420"/>
    </row>
    <row r="45" spans="1:10" x14ac:dyDescent="0.25">
      <c r="A45" s="418"/>
      <c r="B45" s="419"/>
      <c r="C45" s="419"/>
      <c r="D45" s="419"/>
      <c r="E45" s="419"/>
      <c r="F45" s="419"/>
      <c r="G45" s="419"/>
      <c r="H45" s="419"/>
      <c r="I45" s="419"/>
      <c r="J45" s="420"/>
    </row>
    <row r="46" spans="1:10" x14ac:dyDescent="0.25">
      <c r="A46" s="418"/>
      <c r="B46" s="419"/>
      <c r="C46" s="419"/>
      <c r="D46" s="419"/>
      <c r="E46" s="419"/>
      <c r="F46" s="419"/>
      <c r="G46" s="419"/>
      <c r="H46" s="419"/>
      <c r="I46" s="419"/>
      <c r="J46" s="420"/>
    </row>
    <row r="47" spans="1:10" x14ac:dyDescent="0.25">
      <c r="A47" s="418"/>
      <c r="B47" s="419"/>
      <c r="C47" s="419"/>
      <c r="D47" s="419"/>
      <c r="E47" s="419"/>
      <c r="F47" s="419"/>
      <c r="G47" s="419"/>
      <c r="H47" s="419"/>
      <c r="I47" s="419"/>
      <c r="J47" s="420"/>
    </row>
    <row r="48" spans="1:10" x14ac:dyDescent="0.25">
      <c r="A48" s="418"/>
      <c r="B48" s="419"/>
      <c r="C48" s="419"/>
      <c r="D48" s="419"/>
      <c r="E48" s="419"/>
      <c r="F48" s="419"/>
      <c r="G48" s="419"/>
      <c r="H48" s="419"/>
      <c r="I48" s="419"/>
      <c r="J48" s="420"/>
    </row>
    <row r="49" spans="1:10" x14ac:dyDescent="0.25">
      <c r="A49" s="418"/>
      <c r="B49" s="419"/>
      <c r="C49" s="419"/>
      <c r="D49" s="419"/>
      <c r="E49" s="419"/>
      <c r="F49" s="419"/>
      <c r="G49" s="419"/>
      <c r="H49" s="419"/>
      <c r="I49" s="419"/>
      <c r="J49" s="420"/>
    </row>
    <row r="50" spans="1:10" x14ac:dyDescent="0.25">
      <c r="A50" s="418"/>
      <c r="B50" s="419"/>
      <c r="C50" s="419"/>
      <c r="D50" s="419"/>
      <c r="E50" s="419"/>
      <c r="F50" s="419"/>
      <c r="G50" s="419"/>
      <c r="H50" s="419"/>
      <c r="I50" s="419"/>
      <c r="J50" s="420"/>
    </row>
    <row r="51" spans="1:10" x14ac:dyDescent="0.25">
      <c r="A51" s="418"/>
      <c r="B51" s="419"/>
      <c r="C51" s="419"/>
      <c r="D51" s="419"/>
      <c r="E51" s="419"/>
      <c r="F51" s="419"/>
      <c r="G51" s="419"/>
      <c r="H51" s="419"/>
      <c r="I51" s="419"/>
      <c r="J51" s="420"/>
    </row>
    <row r="52" spans="1:10" x14ac:dyDescent="0.25">
      <c r="A52" s="418"/>
      <c r="B52" s="419"/>
      <c r="C52" s="419"/>
      <c r="D52" s="419"/>
      <c r="E52" s="419"/>
      <c r="F52" s="419"/>
      <c r="G52" s="419"/>
      <c r="H52" s="419"/>
      <c r="I52" s="419"/>
      <c r="J52" s="420"/>
    </row>
    <row r="53" spans="1:10" x14ac:dyDescent="0.25">
      <c r="A53" s="418"/>
      <c r="B53" s="419"/>
      <c r="C53" s="419"/>
      <c r="D53" s="419"/>
      <c r="E53" s="419"/>
      <c r="F53" s="419"/>
      <c r="G53" s="419"/>
      <c r="H53" s="419"/>
      <c r="I53" s="419"/>
      <c r="J53" s="420"/>
    </row>
    <row r="54" spans="1:10" x14ac:dyDescent="0.25">
      <c r="A54" s="418"/>
      <c r="B54" s="419"/>
      <c r="C54" s="419"/>
      <c r="D54" s="419"/>
      <c r="E54" s="419"/>
      <c r="F54" s="419"/>
      <c r="G54" s="419"/>
      <c r="H54" s="419"/>
      <c r="I54" s="419"/>
      <c r="J54" s="420"/>
    </row>
    <row r="55" spans="1:10" x14ac:dyDescent="0.25">
      <c r="A55" s="418"/>
      <c r="B55" s="419"/>
      <c r="C55" s="419"/>
      <c r="D55" s="419"/>
      <c r="E55" s="419"/>
      <c r="F55" s="419"/>
      <c r="G55" s="419"/>
      <c r="H55" s="419"/>
      <c r="I55" s="419"/>
      <c r="J55" s="420"/>
    </row>
    <row r="56" spans="1:10" x14ac:dyDescent="0.25">
      <c r="A56" s="421"/>
      <c r="B56" s="422"/>
      <c r="C56" s="422"/>
      <c r="D56" s="422"/>
      <c r="E56" s="422"/>
      <c r="F56" s="422"/>
      <c r="G56" s="422"/>
      <c r="H56" s="422"/>
      <c r="I56" s="422"/>
      <c r="J56" s="423"/>
    </row>
    <row r="87" spans="1:10" ht="13.5" customHeight="1" x14ac:dyDescent="0.25"/>
    <row r="88" spans="1:10" ht="0.75" hidden="1" customHeight="1" x14ac:dyDescent="0.25">
      <c r="A88" s="91"/>
      <c r="J88" s="92"/>
    </row>
  </sheetData>
  <sheetProtection selectLockedCells="1"/>
  <mergeCells count="5">
    <mergeCell ref="A8:J56"/>
    <mergeCell ref="A3:J3"/>
    <mergeCell ref="A5:J7"/>
    <mergeCell ref="A1:G1"/>
    <mergeCell ref="H1:J1"/>
  </mergeCells>
  <dataValidations xWindow="1039" yWindow="379" count="1">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8:J56" xr:uid="{1CB9A741-4938-4414-9DEE-5E90E7307CBA}"/>
  </dataValidations>
  <printOptions horizontalCentered="1"/>
  <pageMargins left="0.7" right="0.7" top="0.5" bottom="0.5" header="0.3" footer="0.3"/>
  <pageSetup orientation="portrait" r:id="rId1"/>
  <headerFooter>
    <oddHeader>&amp;L&amp;F</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dimension ref="A1:T1222"/>
  <sheetViews>
    <sheetView showGridLines="0" topLeftCell="A122" zoomScaleNormal="100" workbookViewId="0">
      <selection activeCell="I133" sqref="I133:J133"/>
    </sheetView>
  </sheetViews>
  <sheetFormatPr defaultRowHeight="13.2" x14ac:dyDescent="0.25"/>
  <cols>
    <col min="1" max="1" width="10.44140625" style="39" customWidth="1"/>
    <col min="2" max="5" width="9.109375" style="39"/>
    <col min="6" max="6" width="8" style="39" customWidth="1"/>
    <col min="7" max="9" width="9.109375" style="39"/>
    <col min="10" max="10" width="9" style="39" customWidth="1"/>
    <col min="11" max="12" width="8.88671875" style="39"/>
    <col min="13" max="13" width="9.109375" style="39" customWidth="1"/>
    <col min="14" max="19" width="8.88671875" style="39"/>
  </cols>
  <sheetData>
    <row r="1" spans="1:13" ht="15.75" customHeight="1" x14ac:dyDescent="0.3">
      <c r="A1" s="355" t="s">
        <v>848</v>
      </c>
      <c r="B1" s="356"/>
      <c r="C1" s="356"/>
      <c r="D1" s="356"/>
      <c r="E1" s="356"/>
      <c r="F1" s="356"/>
      <c r="G1" s="356"/>
      <c r="H1" s="353" t="str">
        <f>'CONTACT INFORMATION'!$A$24</f>
        <v>Alameda</v>
      </c>
      <c r="I1" s="353"/>
      <c r="J1" s="354"/>
    </row>
    <row r="2" spans="1:13" ht="9" customHeight="1" x14ac:dyDescent="0.25">
      <c r="A2" s="45"/>
      <c r="B2" s="45"/>
      <c r="C2" s="45"/>
      <c r="D2" s="45"/>
      <c r="E2" s="45"/>
      <c r="F2" s="45"/>
      <c r="G2" s="45"/>
      <c r="H2" s="45"/>
      <c r="I2" s="45"/>
      <c r="J2" s="45"/>
    </row>
    <row r="3" spans="1:13" ht="12" customHeight="1" x14ac:dyDescent="0.25">
      <c r="A3" s="508" t="s">
        <v>914</v>
      </c>
      <c r="B3" s="508"/>
      <c r="C3" s="508"/>
      <c r="D3" s="508"/>
      <c r="E3" s="508"/>
      <c r="F3" s="508"/>
      <c r="G3" s="508"/>
      <c r="H3" s="508"/>
      <c r="I3" s="508"/>
      <c r="J3" s="508"/>
    </row>
    <row r="4" spans="1:13" ht="14.1" customHeight="1" x14ac:dyDescent="0.25">
      <c r="A4" s="508"/>
      <c r="B4" s="508"/>
      <c r="C4" s="508"/>
      <c r="D4" s="508"/>
      <c r="E4" s="508"/>
      <c r="F4" s="508"/>
      <c r="G4" s="508"/>
      <c r="H4" s="508"/>
      <c r="I4" s="508"/>
      <c r="J4" s="508"/>
    </row>
    <row r="5" spans="1:13" ht="14.1" customHeight="1" x14ac:dyDescent="0.25">
      <c r="A5" s="508"/>
      <c r="B5" s="508"/>
      <c r="C5" s="508"/>
      <c r="D5" s="508"/>
      <c r="E5" s="508"/>
      <c r="F5" s="508"/>
      <c r="G5" s="508"/>
      <c r="H5" s="508"/>
      <c r="I5" s="508"/>
      <c r="J5" s="508"/>
    </row>
    <row r="6" spans="1:13" ht="14.1" customHeight="1" x14ac:dyDescent="0.25">
      <c r="A6" s="508"/>
      <c r="B6" s="508"/>
      <c r="C6" s="508"/>
      <c r="D6" s="508"/>
      <c r="E6" s="508"/>
      <c r="F6" s="508"/>
      <c r="G6" s="508"/>
      <c r="H6" s="508"/>
      <c r="I6" s="508"/>
      <c r="J6" s="508"/>
      <c r="M6" s="45"/>
    </row>
    <row r="7" spans="1:13" ht="9" customHeight="1" x14ac:dyDescent="0.25">
      <c r="A7" s="508"/>
      <c r="B7" s="508"/>
      <c r="C7" s="508"/>
      <c r="D7" s="508"/>
      <c r="E7" s="508"/>
      <c r="F7" s="508"/>
      <c r="G7" s="508"/>
      <c r="H7" s="508"/>
      <c r="I7" s="508"/>
      <c r="J7" s="508"/>
      <c r="M7" s="45"/>
    </row>
    <row r="8" spans="1:13" ht="10.5" customHeight="1" x14ac:dyDescent="0.25"/>
    <row r="9" spans="1:13" ht="14.1" customHeight="1" x14ac:dyDescent="0.25">
      <c r="A9" s="241" t="s">
        <v>836</v>
      </c>
      <c r="B9" s="241"/>
      <c r="C9" s="241"/>
      <c r="D9" s="241"/>
      <c r="E9" s="241"/>
      <c r="F9" s="241"/>
      <c r="G9" s="241"/>
      <c r="H9" s="241"/>
      <c r="I9" s="241"/>
      <c r="J9" s="241"/>
    </row>
    <row r="10" spans="1:13" ht="14.1" customHeight="1" x14ac:dyDescent="0.25">
      <c r="A10" s="241"/>
      <c r="B10" s="241"/>
      <c r="C10" s="241"/>
      <c r="D10" s="241"/>
      <c r="E10" s="241"/>
      <c r="F10" s="241"/>
      <c r="G10" s="241"/>
      <c r="H10" s="241"/>
      <c r="I10" s="241"/>
      <c r="J10" s="241"/>
    </row>
    <row r="11" spans="1:13" ht="14.1" customHeight="1" x14ac:dyDescent="0.25">
      <c r="A11" s="241"/>
      <c r="B11" s="241"/>
      <c r="C11" s="241"/>
      <c r="D11" s="241"/>
      <c r="E11" s="241"/>
      <c r="F11" s="241"/>
      <c r="G11" s="241"/>
      <c r="H11" s="241"/>
      <c r="I11" s="241"/>
      <c r="J11" s="241"/>
    </row>
    <row r="12" spans="1:13" ht="12.75" customHeight="1" x14ac:dyDescent="0.25">
      <c r="A12" s="122"/>
      <c r="B12" s="122"/>
      <c r="C12" s="122"/>
      <c r="D12" s="122"/>
      <c r="E12" s="122"/>
      <c r="F12" s="122"/>
      <c r="G12" s="122"/>
      <c r="H12" s="122"/>
      <c r="I12" s="122"/>
      <c r="J12" s="122"/>
      <c r="M12" s="45"/>
    </row>
    <row r="13" spans="1:13" ht="13.8" x14ac:dyDescent="0.25">
      <c r="A13" s="516" t="s">
        <v>464</v>
      </c>
      <c r="B13" s="516"/>
      <c r="C13" s="516"/>
      <c r="D13" s="516"/>
      <c r="E13" s="516"/>
      <c r="F13" s="516"/>
      <c r="G13" s="516"/>
      <c r="H13" s="516"/>
      <c r="I13" s="516"/>
      <c r="J13" s="516"/>
    </row>
    <row r="14" spans="1:13" ht="18" customHeight="1" thickBot="1" x14ac:dyDescent="0.3">
      <c r="A14" s="47"/>
      <c r="B14" s="48" t="s">
        <v>466</v>
      </c>
      <c r="C14" s="446" t="s">
        <v>467</v>
      </c>
      <c r="D14" s="446"/>
      <c r="E14" s="446"/>
      <c r="F14" s="49"/>
      <c r="G14" s="48" t="s">
        <v>466</v>
      </c>
      <c r="H14" s="446" t="s">
        <v>467</v>
      </c>
      <c r="I14" s="446"/>
      <c r="J14" s="446"/>
    </row>
    <row r="15" spans="1:13" ht="12" customHeight="1" x14ac:dyDescent="0.25">
      <c r="A15" s="50" t="s">
        <v>465</v>
      </c>
      <c r="B15" s="51">
        <v>1</v>
      </c>
      <c r="C15" s="52" t="s">
        <v>468</v>
      </c>
      <c r="F15" s="52"/>
      <c r="G15" s="51">
        <v>5</v>
      </c>
      <c r="H15" s="52" t="s">
        <v>472</v>
      </c>
      <c r="I15" s="52"/>
      <c r="J15" s="52"/>
    </row>
    <row r="16" spans="1:13" ht="12" customHeight="1" x14ac:dyDescent="0.25">
      <c r="A16" s="52"/>
      <c r="B16" s="51">
        <v>2</v>
      </c>
      <c r="C16" s="52" t="s">
        <v>469</v>
      </c>
      <c r="F16" s="52"/>
      <c r="G16" s="51">
        <v>6</v>
      </c>
      <c r="H16" s="52" t="s">
        <v>473</v>
      </c>
      <c r="I16" s="52"/>
      <c r="J16" s="52"/>
    </row>
    <row r="17" spans="1:10" ht="12" customHeight="1" x14ac:dyDescent="0.25">
      <c r="A17" s="52"/>
      <c r="B17" s="51">
        <v>3</v>
      </c>
      <c r="C17" s="52" t="s">
        <v>470</v>
      </c>
      <c r="F17" s="52"/>
      <c r="G17" s="51">
        <v>7</v>
      </c>
      <c r="H17" s="52" t="s">
        <v>474</v>
      </c>
      <c r="I17" s="52"/>
      <c r="J17" s="52"/>
    </row>
    <row r="18" spans="1:10" ht="12" customHeight="1" x14ac:dyDescent="0.25">
      <c r="A18" s="52"/>
      <c r="B18" s="51">
        <v>4</v>
      </c>
      <c r="C18" s="52" t="s">
        <v>471</v>
      </c>
      <c r="F18" s="52"/>
      <c r="G18" s="52"/>
      <c r="H18" s="52"/>
      <c r="I18" s="52"/>
      <c r="J18" s="52"/>
    </row>
    <row r="19" spans="1:10" ht="10.5" customHeight="1" x14ac:dyDescent="0.25">
      <c r="A19" s="52"/>
      <c r="B19" s="51"/>
      <c r="C19" s="52"/>
      <c r="F19" s="52"/>
      <c r="G19" s="52"/>
      <c r="H19" s="52"/>
      <c r="I19" s="52"/>
      <c r="J19" s="52"/>
    </row>
    <row r="20" spans="1:10" ht="12" customHeight="1" thickBot="1" x14ac:dyDescent="0.3">
      <c r="A20" s="47"/>
      <c r="B20" s="48" t="s">
        <v>466</v>
      </c>
      <c r="C20" s="446" t="s">
        <v>467</v>
      </c>
      <c r="D20" s="446"/>
      <c r="E20" s="446"/>
      <c r="F20" s="53"/>
      <c r="G20" s="48" t="s">
        <v>466</v>
      </c>
      <c r="H20" s="446" t="s">
        <v>467</v>
      </c>
      <c r="I20" s="446"/>
      <c r="J20" s="446"/>
    </row>
    <row r="21" spans="1:10" ht="12" customHeight="1" x14ac:dyDescent="0.25">
      <c r="A21" s="54" t="s">
        <v>514</v>
      </c>
      <c r="B21" s="51">
        <v>8</v>
      </c>
      <c r="C21" s="52" t="s">
        <v>536</v>
      </c>
      <c r="F21" s="52"/>
      <c r="G21" s="51">
        <v>26</v>
      </c>
      <c r="H21" s="52" t="s">
        <v>839</v>
      </c>
      <c r="I21" s="52"/>
      <c r="J21" s="52"/>
    </row>
    <row r="22" spans="1:10" ht="12" customHeight="1" x14ac:dyDescent="0.25">
      <c r="A22" s="55" t="s">
        <v>515</v>
      </c>
      <c r="B22" s="51">
        <v>9</v>
      </c>
      <c r="C22" s="52" t="s">
        <v>475</v>
      </c>
      <c r="F22" s="52"/>
      <c r="G22" s="51"/>
      <c r="H22" s="52" t="s">
        <v>838</v>
      </c>
      <c r="I22" s="52"/>
      <c r="J22" s="52"/>
    </row>
    <row r="23" spans="1:10" ht="12" customHeight="1" x14ac:dyDescent="0.25">
      <c r="B23" s="51">
        <v>10</v>
      </c>
      <c r="C23" s="52" t="s">
        <v>476</v>
      </c>
      <c r="F23" s="52"/>
      <c r="G23" s="51">
        <v>27</v>
      </c>
      <c r="H23" s="52" t="s">
        <v>493</v>
      </c>
      <c r="I23" s="52"/>
      <c r="J23" s="52"/>
    </row>
    <row r="24" spans="1:10" ht="12" customHeight="1" x14ac:dyDescent="0.25">
      <c r="A24" s="52"/>
      <c r="B24" s="51">
        <v>11</v>
      </c>
      <c r="C24" s="52" t="s">
        <v>477</v>
      </c>
      <c r="F24" s="52"/>
      <c r="G24" s="51">
        <v>28</v>
      </c>
      <c r="H24" s="52" t="s">
        <v>494</v>
      </c>
      <c r="I24" s="52"/>
      <c r="J24" s="52"/>
    </row>
    <row r="25" spans="1:10" ht="12" customHeight="1" x14ac:dyDescent="0.25">
      <c r="A25" s="52"/>
      <c r="B25" s="51">
        <v>12</v>
      </c>
      <c r="C25" s="52" t="s">
        <v>478</v>
      </c>
      <c r="F25" s="52"/>
      <c r="G25" s="51">
        <v>29</v>
      </c>
      <c r="H25" s="52" t="s">
        <v>495</v>
      </c>
      <c r="I25" s="52"/>
      <c r="J25" s="52"/>
    </row>
    <row r="26" spans="1:10" ht="12" customHeight="1" x14ac:dyDescent="0.25">
      <c r="A26" s="52"/>
      <c r="B26" s="51">
        <v>13</v>
      </c>
      <c r="C26" s="52" t="s">
        <v>479</v>
      </c>
      <c r="F26" s="52"/>
      <c r="G26" s="51">
        <v>30</v>
      </c>
      <c r="H26" s="52" t="s">
        <v>496</v>
      </c>
      <c r="I26" s="52"/>
      <c r="J26" s="52"/>
    </row>
    <row r="27" spans="1:10" ht="12" customHeight="1" x14ac:dyDescent="0.25">
      <c r="A27" s="52"/>
      <c r="B27" s="51">
        <v>14</v>
      </c>
      <c r="C27" s="52" t="s">
        <v>480</v>
      </c>
      <c r="F27" s="52"/>
      <c r="G27" s="51">
        <v>31</v>
      </c>
      <c r="H27" s="52" t="s">
        <v>497</v>
      </c>
      <c r="I27" s="52"/>
      <c r="J27" s="52"/>
    </row>
    <row r="28" spans="1:10" ht="12" customHeight="1" x14ac:dyDescent="0.25">
      <c r="A28" s="52"/>
      <c r="B28" s="51">
        <v>15</v>
      </c>
      <c r="C28" s="52" t="s">
        <v>481</v>
      </c>
      <c r="F28" s="52"/>
      <c r="G28" s="51">
        <v>32</v>
      </c>
      <c r="H28" s="52" t="s">
        <v>498</v>
      </c>
      <c r="I28" s="52"/>
      <c r="J28" s="52"/>
    </row>
    <row r="29" spans="1:10" ht="12" customHeight="1" x14ac:dyDescent="0.25">
      <c r="A29" s="52"/>
      <c r="B29" s="51">
        <v>16</v>
      </c>
      <c r="C29" s="52" t="s">
        <v>482</v>
      </c>
      <c r="F29" s="52"/>
      <c r="G29" s="51">
        <v>33</v>
      </c>
      <c r="H29" s="52" t="s">
        <v>499</v>
      </c>
      <c r="I29" s="52"/>
      <c r="J29" s="52"/>
    </row>
    <row r="30" spans="1:10" ht="12" customHeight="1" x14ac:dyDescent="0.25">
      <c r="A30" s="52"/>
      <c r="B30" s="51">
        <v>17</v>
      </c>
      <c r="C30" s="52" t="s">
        <v>483</v>
      </c>
      <c r="F30" s="52"/>
      <c r="G30" s="51">
        <v>34</v>
      </c>
      <c r="H30" s="52" t="s">
        <v>326</v>
      </c>
      <c r="I30" s="52"/>
      <c r="J30" s="52"/>
    </row>
    <row r="31" spans="1:10" ht="12" customHeight="1" x14ac:dyDescent="0.25">
      <c r="A31" s="52"/>
      <c r="B31" s="51">
        <v>18</v>
      </c>
      <c r="C31" s="52" t="s">
        <v>484</v>
      </c>
      <c r="F31" s="52"/>
      <c r="G31" s="51">
        <v>35</v>
      </c>
      <c r="H31" s="52" t="s">
        <v>500</v>
      </c>
      <c r="I31" s="52"/>
      <c r="J31" s="52"/>
    </row>
    <row r="32" spans="1:10" ht="12" customHeight="1" x14ac:dyDescent="0.25">
      <c r="A32" s="52"/>
      <c r="B32" s="51">
        <v>19</v>
      </c>
      <c r="C32" s="52" t="s">
        <v>485</v>
      </c>
      <c r="F32" s="52"/>
      <c r="G32" s="51">
        <v>36</v>
      </c>
      <c r="H32" s="52" t="s">
        <v>501</v>
      </c>
      <c r="I32" s="52"/>
      <c r="J32" s="52"/>
    </row>
    <row r="33" spans="1:10" ht="12" customHeight="1" x14ac:dyDescent="0.25">
      <c r="A33" s="52"/>
      <c r="B33" s="51">
        <v>20</v>
      </c>
      <c r="C33" s="52" t="s">
        <v>486</v>
      </c>
      <c r="F33" s="52"/>
      <c r="G33" s="51">
        <v>37</v>
      </c>
      <c r="H33" s="52" t="s">
        <v>502</v>
      </c>
      <c r="I33" s="52"/>
      <c r="J33" s="52"/>
    </row>
    <row r="34" spans="1:10" ht="12" customHeight="1" x14ac:dyDescent="0.25">
      <c r="A34" s="52"/>
      <c r="B34" s="51">
        <v>21</v>
      </c>
      <c r="C34" s="52" t="s">
        <v>487</v>
      </c>
      <c r="F34" s="52"/>
      <c r="G34" s="51">
        <v>38</v>
      </c>
      <c r="H34" s="52" t="s">
        <v>503</v>
      </c>
      <c r="I34" s="52"/>
      <c r="J34" s="52"/>
    </row>
    <row r="35" spans="1:10" ht="12" customHeight="1" x14ac:dyDescent="0.25">
      <c r="A35" s="52"/>
      <c r="B35" s="51">
        <v>22</v>
      </c>
      <c r="C35" s="52" t="s">
        <v>488</v>
      </c>
      <c r="F35" s="52"/>
      <c r="G35" s="51">
        <v>39</v>
      </c>
      <c r="H35" s="52" t="s">
        <v>504</v>
      </c>
      <c r="I35" s="52"/>
      <c r="J35" s="52"/>
    </row>
    <row r="36" spans="1:10" ht="12" customHeight="1" x14ac:dyDescent="0.25">
      <c r="A36" s="52"/>
      <c r="B36" s="51">
        <v>23</v>
      </c>
      <c r="C36" s="52" t="s">
        <v>489</v>
      </c>
      <c r="F36" s="52"/>
      <c r="G36" s="51">
        <v>40</v>
      </c>
      <c r="H36" s="52" t="s">
        <v>516</v>
      </c>
      <c r="I36" s="52"/>
      <c r="J36" s="52"/>
    </row>
    <row r="37" spans="1:10" ht="12" customHeight="1" x14ac:dyDescent="0.25">
      <c r="A37" s="52"/>
      <c r="B37" s="51">
        <v>24</v>
      </c>
      <c r="C37" s="52" t="s">
        <v>490</v>
      </c>
      <c r="F37" s="52"/>
      <c r="G37" s="51">
        <v>41</v>
      </c>
      <c r="H37" s="52" t="s">
        <v>505</v>
      </c>
      <c r="I37" s="52"/>
      <c r="J37" s="52"/>
    </row>
    <row r="38" spans="1:10" ht="12" customHeight="1" x14ac:dyDescent="0.25">
      <c r="A38" s="52"/>
      <c r="B38" s="51">
        <v>25</v>
      </c>
      <c r="C38" s="52" t="s">
        <v>491</v>
      </c>
      <c r="F38" s="52"/>
      <c r="G38" s="51">
        <v>42</v>
      </c>
      <c r="H38" s="52" t="s">
        <v>506</v>
      </c>
      <c r="I38" s="52"/>
      <c r="J38" s="52"/>
    </row>
    <row r="39" spans="1:10" ht="12" customHeight="1" x14ac:dyDescent="0.25">
      <c r="A39" s="52"/>
      <c r="B39" s="51"/>
      <c r="C39" s="52"/>
      <c r="F39" s="52"/>
      <c r="G39" s="51">
        <v>43</v>
      </c>
      <c r="H39" s="52" t="s">
        <v>517</v>
      </c>
      <c r="I39" s="52"/>
      <c r="J39" s="52"/>
    </row>
    <row r="40" spans="1:10" ht="12" customHeight="1" x14ac:dyDescent="0.25">
      <c r="A40" s="52"/>
      <c r="B40" s="51"/>
      <c r="C40" s="52"/>
      <c r="F40" s="52"/>
      <c r="G40" s="51"/>
      <c r="H40" s="52"/>
      <c r="I40" s="52"/>
      <c r="J40" s="52"/>
    </row>
    <row r="41" spans="1:10" ht="12" customHeight="1" thickBot="1" x14ac:dyDescent="0.3">
      <c r="A41" s="47"/>
      <c r="B41" s="48" t="s">
        <v>466</v>
      </c>
      <c r="C41" s="446" t="s">
        <v>467</v>
      </c>
      <c r="D41" s="446"/>
      <c r="E41" s="446"/>
      <c r="F41" s="53"/>
      <c r="G41" s="48" t="s">
        <v>466</v>
      </c>
      <c r="H41" s="446" t="s">
        <v>467</v>
      </c>
      <c r="I41" s="446"/>
      <c r="J41" s="446"/>
    </row>
    <row r="42" spans="1:10" ht="12" customHeight="1" x14ac:dyDescent="0.25">
      <c r="A42" s="55" t="s">
        <v>518</v>
      </c>
      <c r="B42" s="51">
        <v>44</v>
      </c>
      <c r="C42" s="52" t="s">
        <v>507</v>
      </c>
      <c r="F42" s="52"/>
      <c r="G42" s="51">
        <v>48</v>
      </c>
      <c r="H42" s="52" t="s">
        <v>510</v>
      </c>
      <c r="I42" s="52"/>
      <c r="J42" s="52"/>
    </row>
    <row r="43" spans="1:10" ht="12" customHeight="1" x14ac:dyDescent="0.25">
      <c r="A43" s="55" t="s">
        <v>519</v>
      </c>
      <c r="B43" s="51">
        <v>45</v>
      </c>
      <c r="C43" s="52" t="s">
        <v>513</v>
      </c>
      <c r="F43" s="52"/>
      <c r="G43" s="51">
        <v>49</v>
      </c>
      <c r="H43" s="52" t="s">
        <v>511</v>
      </c>
      <c r="I43" s="52"/>
      <c r="J43" s="52"/>
    </row>
    <row r="44" spans="1:10" ht="12" customHeight="1" x14ac:dyDescent="0.25">
      <c r="A44" s="55" t="s">
        <v>520</v>
      </c>
      <c r="B44" s="51">
        <v>46</v>
      </c>
      <c r="C44" s="52" t="s">
        <v>508</v>
      </c>
      <c r="F44" s="52"/>
      <c r="G44" s="51">
        <v>50</v>
      </c>
      <c r="H44" s="52" t="s">
        <v>805</v>
      </c>
      <c r="I44" s="52"/>
      <c r="J44" s="52"/>
    </row>
    <row r="45" spans="1:10" ht="12" customHeight="1" x14ac:dyDescent="0.25">
      <c r="A45" s="55" t="s">
        <v>521</v>
      </c>
      <c r="B45" s="51">
        <v>47</v>
      </c>
      <c r="C45" s="52" t="s">
        <v>509</v>
      </c>
      <c r="F45" s="52"/>
      <c r="G45" s="51"/>
      <c r="H45" s="52"/>
      <c r="I45" s="52"/>
      <c r="J45" s="52"/>
    </row>
    <row r="46" spans="1:10" x14ac:dyDescent="0.25">
      <c r="A46" s="52"/>
      <c r="B46" s="52"/>
      <c r="C46" s="52"/>
      <c r="F46" s="52"/>
      <c r="G46" s="52"/>
      <c r="H46" s="52"/>
      <c r="I46" s="52"/>
      <c r="J46" s="52"/>
    </row>
    <row r="47" spans="1:10" ht="12.75" customHeight="1" x14ac:dyDescent="0.25">
      <c r="A47" s="241" t="s">
        <v>915</v>
      </c>
      <c r="B47" s="532"/>
      <c r="C47" s="532"/>
      <c r="D47" s="532"/>
      <c r="E47" s="532"/>
      <c r="F47" s="532"/>
      <c r="G47" s="532"/>
      <c r="H47" s="532"/>
      <c r="I47" s="532"/>
      <c r="J47" s="532"/>
    </row>
    <row r="48" spans="1:10" x14ac:dyDescent="0.25">
      <c r="A48" s="532"/>
      <c r="B48" s="532"/>
      <c r="C48" s="532"/>
      <c r="D48" s="532"/>
      <c r="E48" s="532"/>
      <c r="F48" s="532"/>
      <c r="G48" s="532"/>
      <c r="H48" s="532"/>
      <c r="I48" s="532"/>
      <c r="J48" s="532"/>
    </row>
    <row r="49" spans="1:11" x14ac:dyDescent="0.25">
      <c r="A49" s="532"/>
      <c r="B49" s="532"/>
      <c r="C49" s="532"/>
      <c r="D49" s="532"/>
      <c r="E49" s="532"/>
      <c r="F49" s="532"/>
      <c r="G49" s="532"/>
      <c r="H49" s="532"/>
      <c r="I49" s="532"/>
      <c r="J49" s="532"/>
    </row>
    <row r="50" spans="1:11" x14ac:dyDescent="0.25">
      <c r="A50" s="532"/>
      <c r="B50" s="532"/>
      <c r="C50" s="532"/>
      <c r="D50" s="532"/>
      <c r="E50" s="532"/>
      <c r="F50" s="532"/>
      <c r="G50" s="532"/>
      <c r="H50" s="532"/>
      <c r="I50" s="532"/>
      <c r="J50" s="532"/>
    </row>
    <row r="51" spans="1:11" x14ac:dyDescent="0.25">
      <c r="A51" s="532"/>
      <c r="B51" s="532"/>
      <c r="C51" s="532"/>
      <c r="D51" s="532"/>
      <c r="E51" s="532"/>
      <c r="F51" s="532"/>
      <c r="G51" s="532"/>
      <c r="H51" s="532"/>
      <c r="I51" s="532"/>
      <c r="J51" s="532"/>
    </row>
    <row r="52" spans="1:11" ht="12.75" hidden="1" customHeight="1" x14ac:dyDescent="0.25">
      <c r="A52" s="532"/>
      <c r="B52" s="532"/>
      <c r="C52" s="532"/>
      <c r="D52" s="532"/>
      <c r="E52" s="532"/>
      <c r="F52" s="532"/>
      <c r="G52" s="532"/>
      <c r="H52" s="532"/>
      <c r="I52" s="532"/>
      <c r="J52" s="532"/>
    </row>
    <row r="53" spans="1:11" ht="12.75" hidden="1" customHeight="1" x14ac:dyDescent="0.25">
      <c r="A53" s="532"/>
      <c r="B53" s="532"/>
      <c r="C53" s="532"/>
      <c r="D53" s="532"/>
      <c r="E53" s="532"/>
      <c r="F53" s="532"/>
      <c r="G53" s="532"/>
      <c r="H53" s="532"/>
      <c r="I53" s="532"/>
      <c r="J53" s="532"/>
    </row>
    <row r="54" spans="1:11" ht="12.75" hidden="1" customHeight="1" x14ac:dyDescent="0.25">
      <c r="A54" s="532"/>
      <c r="B54" s="532"/>
      <c r="C54" s="532"/>
      <c r="D54" s="532"/>
      <c r="E54" s="532"/>
      <c r="F54" s="532"/>
      <c r="G54" s="532"/>
      <c r="H54" s="532"/>
      <c r="I54" s="532"/>
      <c r="J54" s="532"/>
    </row>
    <row r="55" spans="1:11" ht="12.75" hidden="1" customHeight="1" x14ac:dyDescent="0.25">
      <c r="A55" s="532"/>
      <c r="B55" s="532"/>
      <c r="C55" s="532"/>
      <c r="D55" s="532"/>
      <c r="E55" s="532"/>
      <c r="F55" s="532"/>
      <c r="G55" s="532"/>
      <c r="H55" s="532"/>
      <c r="I55" s="532"/>
      <c r="J55" s="532"/>
    </row>
    <row r="56" spans="1:11" x14ac:dyDescent="0.25">
      <c r="A56" s="532"/>
      <c r="B56" s="532"/>
      <c r="C56" s="532"/>
      <c r="D56" s="532"/>
      <c r="E56" s="532"/>
      <c r="F56" s="532"/>
      <c r="G56" s="532"/>
      <c r="H56" s="532"/>
      <c r="I56" s="532"/>
      <c r="J56" s="532"/>
    </row>
    <row r="57" spans="1:11" x14ac:dyDescent="0.25">
      <c r="A57" s="519"/>
      <c r="B57" s="519"/>
      <c r="C57" s="519"/>
      <c r="D57" s="519"/>
      <c r="E57" s="519"/>
      <c r="F57" s="519"/>
      <c r="G57" s="519"/>
      <c r="H57" s="519"/>
      <c r="I57" s="519"/>
      <c r="J57" s="519"/>
      <c r="K57" s="519"/>
    </row>
    <row r="58" spans="1:11" x14ac:dyDescent="0.25">
      <c r="A58" s="519"/>
      <c r="B58" s="519"/>
      <c r="C58" s="519"/>
      <c r="D58" s="519"/>
      <c r="E58" s="519"/>
      <c r="F58" s="519"/>
      <c r="G58" s="519"/>
      <c r="H58" s="519"/>
      <c r="I58" s="519"/>
      <c r="J58" s="519"/>
      <c r="K58" s="519"/>
    </row>
    <row r="59" spans="1:11" x14ac:dyDescent="0.25">
      <c r="A59" s="209"/>
      <c r="B59" s="209"/>
      <c r="C59" s="209"/>
      <c r="D59" s="209"/>
      <c r="E59" s="209"/>
      <c r="F59" s="209"/>
      <c r="G59" s="209"/>
      <c r="H59" s="209"/>
      <c r="I59" s="209"/>
      <c r="J59" s="209"/>
      <c r="K59" s="209"/>
    </row>
    <row r="60" spans="1:11" x14ac:dyDescent="0.25">
      <c r="A60" s="122"/>
      <c r="B60" s="122"/>
      <c r="C60" s="122"/>
      <c r="D60" s="122"/>
      <c r="E60" s="122"/>
      <c r="F60" s="122"/>
      <c r="G60" s="122"/>
      <c r="H60" s="122"/>
      <c r="I60" s="122"/>
      <c r="J60" s="122"/>
    </row>
    <row r="61" spans="1:11" x14ac:dyDescent="0.25">
      <c r="A61" s="122"/>
      <c r="B61" s="122"/>
      <c r="C61" s="122"/>
      <c r="D61" s="122"/>
      <c r="E61" s="122"/>
      <c r="F61" s="122"/>
      <c r="G61" s="122"/>
      <c r="H61" s="122"/>
      <c r="I61" s="122"/>
      <c r="J61" s="122"/>
    </row>
    <row r="62" spans="1:11" x14ac:dyDescent="0.25">
      <c r="A62" s="122"/>
      <c r="B62" s="122"/>
      <c r="C62" s="122"/>
      <c r="D62" s="122"/>
      <c r="E62" s="122"/>
      <c r="F62" s="122"/>
      <c r="G62" s="122"/>
      <c r="H62" s="122"/>
      <c r="I62" s="122"/>
      <c r="J62" s="122"/>
    </row>
    <row r="63" spans="1:11" x14ac:dyDescent="0.25">
      <c r="A63" s="122"/>
      <c r="B63" s="122"/>
      <c r="C63" s="122"/>
      <c r="D63" s="122"/>
      <c r="E63" s="122"/>
      <c r="F63" s="122"/>
      <c r="G63" s="122"/>
      <c r="H63" s="122"/>
      <c r="I63" s="122"/>
      <c r="J63" s="122"/>
    </row>
    <row r="64" spans="1:11" ht="12.75" customHeight="1" x14ac:dyDescent="0.25">
      <c r="I64" s="461"/>
      <c r="J64" s="462"/>
    </row>
    <row r="65" spans="1:10" ht="15.75" customHeight="1" x14ac:dyDescent="0.3">
      <c r="A65" s="355" t="s">
        <v>848</v>
      </c>
      <c r="B65" s="356"/>
      <c r="C65" s="356"/>
      <c r="D65" s="356"/>
      <c r="E65" s="356"/>
      <c r="F65" s="356"/>
      <c r="G65" s="356"/>
      <c r="H65" s="353" t="str">
        <f>'CONTACT INFORMATION'!$A$24</f>
        <v>Alameda</v>
      </c>
      <c r="I65" s="353"/>
      <c r="J65" s="354"/>
    </row>
    <row r="66" spans="1:10" ht="12" customHeight="1" x14ac:dyDescent="0.25">
      <c r="A66" s="74"/>
      <c r="B66" s="74"/>
      <c r="C66" s="74"/>
      <c r="D66" s="74"/>
      <c r="E66" s="74"/>
      <c r="F66" s="74"/>
      <c r="G66" s="74"/>
      <c r="H66" s="74"/>
      <c r="I66" s="74"/>
      <c r="J66" s="74"/>
    </row>
    <row r="67" spans="1:10" ht="12.75" customHeight="1" x14ac:dyDescent="0.25">
      <c r="B67" s="285" t="s">
        <v>538</v>
      </c>
      <c r="C67" s="285"/>
      <c r="D67" s="285"/>
      <c r="E67" s="285"/>
      <c r="F67" s="285"/>
      <c r="G67" s="285"/>
      <c r="H67" s="285"/>
      <c r="I67" s="285"/>
      <c r="J67" s="56"/>
    </row>
    <row r="68" spans="1:10" ht="12.75" customHeight="1" x14ac:dyDescent="0.25">
      <c r="A68" s="56"/>
      <c r="B68" s="285"/>
      <c r="C68" s="285"/>
      <c r="D68" s="285"/>
      <c r="E68" s="285"/>
      <c r="F68" s="285"/>
      <c r="G68" s="285"/>
      <c r="H68" s="285"/>
      <c r="I68" s="285"/>
      <c r="J68" s="56"/>
    </row>
    <row r="69" spans="1:10" x14ac:dyDescent="0.25">
      <c r="A69" s="56"/>
      <c r="B69" s="285"/>
      <c r="C69" s="285"/>
      <c r="D69" s="285"/>
      <c r="E69" s="285"/>
      <c r="F69" s="285"/>
      <c r="G69" s="285"/>
      <c r="H69" s="285"/>
      <c r="I69" s="285"/>
      <c r="J69" s="56"/>
    </row>
    <row r="70" spans="1:10" ht="12.9" customHeight="1" x14ac:dyDescent="0.25">
      <c r="A70" s="56"/>
      <c r="B70" s="115"/>
      <c r="C70" s="115"/>
      <c r="D70" s="115"/>
      <c r="E70" s="115"/>
      <c r="F70" s="115"/>
      <c r="G70" s="115"/>
      <c r="H70" s="115"/>
      <c r="I70" s="115"/>
      <c r="J70" s="115"/>
    </row>
    <row r="71" spans="1:10" ht="12.75" customHeight="1" x14ac:dyDescent="0.25">
      <c r="A71" s="56"/>
      <c r="B71" s="285" t="s">
        <v>214</v>
      </c>
      <c r="C71" s="285"/>
      <c r="D71" s="285"/>
      <c r="E71" s="285"/>
      <c r="F71" s="285"/>
      <c r="G71" s="285"/>
      <c r="H71" s="285"/>
      <c r="I71" s="285"/>
      <c r="J71" s="56"/>
    </row>
    <row r="72" spans="1:10" ht="12.75" customHeight="1" x14ac:dyDescent="0.25">
      <c r="A72" s="56"/>
      <c r="B72" s="285"/>
      <c r="C72" s="285"/>
      <c r="D72" s="285"/>
      <c r="E72" s="285"/>
      <c r="F72" s="285"/>
      <c r="G72" s="285"/>
      <c r="H72" s="285"/>
      <c r="I72" s="285"/>
      <c r="J72" s="56"/>
    </row>
    <row r="73" spans="1:10" x14ac:dyDescent="0.25">
      <c r="A73" s="56"/>
      <c r="B73" s="285"/>
      <c r="C73" s="285"/>
      <c r="D73" s="285"/>
      <c r="E73" s="285"/>
      <c r="F73" s="285"/>
      <c r="G73" s="285"/>
      <c r="H73" s="285"/>
      <c r="I73" s="285"/>
      <c r="J73" s="56"/>
    </row>
    <row r="74" spans="1:10" ht="12.75" customHeight="1" x14ac:dyDescent="0.25">
      <c r="A74" s="56"/>
      <c r="B74" s="285"/>
      <c r="C74" s="285"/>
      <c r="D74" s="285"/>
      <c r="E74" s="285"/>
      <c r="F74" s="285"/>
      <c r="G74" s="285"/>
      <c r="H74" s="285"/>
      <c r="I74" s="285"/>
      <c r="J74" s="56"/>
    </row>
    <row r="75" spans="1:10" ht="12.9" customHeight="1" x14ac:dyDescent="0.25">
      <c r="A75" s="56"/>
      <c r="B75" s="285"/>
      <c r="C75" s="285"/>
      <c r="D75" s="285"/>
      <c r="E75" s="285"/>
      <c r="F75" s="285"/>
      <c r="G75" s="285"/>
      <c r="H75" s="285"/>
      <c r="I75" s="285"/>
      <c r="J75" s="115"/>
    </row>
    <row r="76" spans="1:10" ht="12.9" customHeight="1" x14ac:dyDescent="0.25">
      <c r="A76" s="56"/>
      <c r="B76" s="115"/>
      <c r="C76" s="115"/>
      <c r="D76" s="115"/>
      <c r="E76" s="115"/>
      <c r="F76" s="115"/>
      <c r="G76" s="115"/>
      <c r="H76" s="115"/>
      <c r="I76" s="115"/>
      <c r="J76" s="115"/>
    </row>
    <row r="77" spans="1:10" ht="12.75" customHeight="1" x14ac:dyDescent="0.25">
      <c r="A77" s="45"/>
      <c r="B77" s="285" t="s">
        <v>833</v>
      </c>
      <c r="C77" s="285"/>
      <c r="D77" s="285"/>
      <c r="E77" s="285"/>
      <c r="F77" s="285"/>
      <c r="G77" s="285"/>
      <c r="H77" s="285"/>
      <c r="I77" s="285"/>
      <c r="J77" s="56"/>
    </row>
    <row r="78" spans="1:10" ht="12.75" customHeight="1" x14ac:dyDescent="0.25">
      <c r="A78" s="45"/>
      <c r="B78" s="285"/>
      <c r="C78" s="285"/>
      <c r="D78" s="285"/>
      <c r="E78" s="285"/>
      <c r="F78" s="285"/>
      <c r="G78" s="285"/>
      <c r="H78" s="285"/>
      <c r="I78" s="285"/>
      <c r="J78" s="56"/>
    </row>
    <row r="79" spans="1:10" ht="12.9" customHeight="1" x14ac:dyDescent="0.25">
      <c r="A79" s="45"/>
      <c r="B79" s="285"/>
      <c r="C79" s="285"/>
      <c r="D79" s="285"/>
      <c r="E79" s="285"/>
      <c r="F79" s="285"/>
      <c r="G79" s="285"/>
      <c r="H79" s="285"/>
      <c r="I79" s="285"/>
      <c r="J79" s="115"/>
    </row>
    <row r="80" spans="1:10" ht="12.9" customHeight="1" x14ac:dyDescent="0.25">
      <c r="A80" s="45"/>
      <c r="B80" s="203"/>
      <c r="C80" s="203"/>
      <c r="D80" s="203"/>
      <c r="E80" s="203"/>
      <c r="F80" s="203"/>
      <c r="G80" s="203"/>
      <c r="H80" s="203"/>
      <c r="I80" s="203"/>
      <c r="J80" s="115"/>
    </row>
    <row r="81" spans="1:10" ht="12.75" customHeight="1" x14ac:dyDescent="0.25">
      <c r="A81" s="45"/>
      <c r="B81" s="531" t="s">
        <v>841</v>
      </c>
      <c r="C81" s="531"/>
      <c r="D81" s="531"/>
      <c r="E81" s="531"/>
      <c r="F81" s="531"/>
      <c r="G81" s="531"/>
      <c r="H81" s="531"/>
      <c r="I81" s="531"/>
      <c r="J81" s="56"/>
    </row>
    <row r="82" spans="1:10" x14ac:dyDescent="0.25">
      <c r="A82" s="45"/>
      <c r="B82" s="531"/>
      <c r="C82" s="531"/>
      <c r="D82" s="531"/>
      <c r="E82" s="531"/>
      <c r="F82" s="531"/>
      <c r="G82" s="531"/>
      <c r="H82" s="531"/>
      <c r="I82" s="531"/>
      <c r="J82" s="56"/>
    </row>
    <row r="83" spans="1:10" x14ac:dyDescent="0.25">
      <c r="A83" s="45"/>
      <c r="B83" s="531"/>
      <c r="C83" s="531"/>
      <c r="D83" s="531"/>
      <c r="E83" s="531"/>
      <c r="F83" s="531"/>
      <c r="G83" s="531"/>
      <c r="H83" s="531"/>
      <c r="I83" s="531"/>
      <c r="J83" s="56"/>
    </row>
    <row r="84" spans="1:10" ht="12.9" customHeight="1" x14ac:dyDescent="0.25">
      <c r="A84" s="45"/>
      <c r="B84" s="531"/>
      <c r="C84" s="531"/>
      <c r="D84" s="531"/>
      <c r="E84" s="531"/>
      <c r="F84" s="531"/>
      <c r="G84" s="531"/>
      <c r="H84" s="531"/>
      <c r="I84" s="531"/>
      <c r="J84" s="115"/>
    </row>
    <row r="85" spans="1:10" ht="12.9" customHeight="1" x14ac:dyDescent="0.25">
      <c r="A85" s="45"/>
      <c r="B85" s="115"/>
      <c r="C85" s="115"/>
      <c r="D85" s="115"/>
      <c r="E85" s="115"/>
      <c r="F85" s="115"/>
      <c r="G85" s="115"/>
      <c r="H85" s="115"/>
      <c r="I85" s="115"/>
      <c r="J85" s="115"/>
    </row>
    <row r="86" spans="1:10" ht="12.75" customHeight="1" x14ac:dyDescent="0.25">
      <c r="A86" s="45"/>
      <c r="B86" s="285" t="s">
        <v>834</v>
      </c>
      <c r="C86" s="285"/>
      <c r="D86" s="285"/>
      <c r="E86" s="285"/>
      <c r="F86" s="285"/>
      <c r="G86" s="285"/>
      <c r="H86" s="285"/>
      <c r="I86" s="285"/>
      <c r="J86" s="74"/>
    </row>
    <row r="87" spans="1:10" x14ac:dyDescent="0.25">
      <c r="A87" s="45"/>
      <c r="B87" s="285"/>
      <c r="C87" s="285"/>
      <c r="D87" s="285"/>
      <c r="E87" s="285"/>
      <c r="F87" s="285"/>
      <c r="G87" s="285"/>
      <c r="H87" s="285"/>
      <c r="I87" s="285"/>
      <c r="J87" s="74"/>
    </row>
    <row r="88" spans="1:10" x14ac:dyDescent="0.25">
      <c r="A88" s="45"/>
      <c r="B88" s="285"/>
      <c r="C88" s="285"/>
      <c r="D88" s="285"/>
      <c r="E88" s="285"/>
      <c r="F88" s="285"/>
      <c r="G88" s="285"/>
      <c r="H88" s="285"/>
      <c r="I88" s="285"/>
      <c r="J88" s="74"/>
    </row>
    <row r="89" spans="1:10" ht="12.9" customHeight="1" x14ac:dyDescent="0.25">
      <c r="A89" s="45"/>
      <c r="B89" s="201"/>
      <c r="C89" s="201"/>
      <c r="D89" s="201"/>
      <c r="E89" s="201"/>
      <c r="F89" s="201"/>
      <c r="G89" s="201"/>
      <c r="H89" s="201"/>
      <c r="I89" s="201"/>
      <c r="J89" s="201"/>
    </row>
    <row r="90" spans="1:10" ht="12.75" customHeight="1" x14ac:dyDescent="0.25">
      <c r="A90" s="45"/>
      <c r="B90" s="285" t="s">
        <v>812</v>
      </c>
      <c r="C90" s="285"/>
      <c r="D90" s="285"/>
      <c r="E90" s="285"/>
      <c r="F90" s="285"/>
      <c r="G90" s="285"/>
      <c r="H90" s="285"/>
      <c r="I90" s="285"/>
      <c r="J90" s="74"/>
    </row>
    <row r="91" spans="1:10" ht="24.75" customHeight="1" x14ac:dyDescent="0.25">
      <c r="A91" s="45"/>
      <c r="B91" s="285"/>
      <c r="C91" s="285"/>
      <c r="D91" s="285"/>
      <c r="E91" s="285"/>
      <c r="F91" s="285"/>
      <c r="G91" s="285"/>
      <c r="H91" s="285"/>
      <c r="I91" s="285"/>
      <c r="J91" s="74"/>
    </row>
    <row r="92" spans="1:10" ht="9" customHeight="1" x14ac:dyDescent="0.25">
      <c r="A92" s="45"/>
      <c r="B92" s="45"/>
      <c r="C92" s="45"/>
      <c r="D92" s="45"/>
      <c r="E92" s="45"/>
      <c r="F92" s="45"/>
      <c r="G92" s="45"/>
      <c r="H92" s="45"/>
      <c r="I92" s="45"/>
      <c r="J92" s="45"/>
    </row>
    <row r="93" spans="1:10" ht="5.0999999999999996" customHeight="1" x14ac:dyDescent="0.25">
      <c r="A93" s="45"/>
      <c r="B93" s="45"/>
      <c r="C93" s="45"/>
      <c r="D93" s="45"/>
      <c r="E93" s="45"/>
      <c r="F93" s="45"/>
      <c r="G93" s="45"/>
      <c r="H93" s="45"/>
      <c r="I93" s="45"/>
      <c r="J93" s="45"/>
    </row>
    <row r="94" spans="1:10" ht="12.75" customHeight="1" x14ac:dyDescent="0.25">
      <c r="A94" s="458" t="s">
        <v>840</v>
      </c>
      <c r="B94" s="459"/>
      <c r="C94" s="459"/>
      <c r="D94" s="459"/>
      <c r="E94" s="459"/>
      <c r="F94" s="459"/>
      <c r="G94" s="459"/>
      <c r="H94" s="459"/>
      <c r="I94" s="459"/>
      <c r="J94" s="459"/>
    </row>
    <row r="95" spans="1:10" x14ac:dyDescent="0.25">
      <c r="A95" s="459"/>
      <c r="B95" s="459"/>
      <c r="C95" s="459"/>
      <c r="D95" s="459"/>
      <c r="E95" s="459"/>
      <c r="F95" s="459"/>
      <c r="G95" s="459"/>
      <c r="H95" s="459"/>
      <c r="I95" s="459"/>
      <c r="J95" s="459"/>
    </row>
    <row r="96" spans="1:10" x14ac:dyDescent="0.25">
      <c r="A96" s="459"/>
      <c r="B96" s="459"/>
      <c r="C96" s="459"/>
      <c r="D96" s="459"/>
      <c r="E96" s="459"/>
      <c r="F96" s="459"/>
      <c r="G96" s="459"/>
      <c r="H96" s="459"/>
      <c r="I96" s="459"/>
      <c r="J96" s="459"/>
    </row>
    <row r="97" spans="1:11" ht="12.75" hidden="1" customHeight="1" x14ac:dyDescent="0.25">
      <c r="A97" s="459"/>
      <c r="B97" s="459"/>
      <c r="C97" s="459"/>
      <c r="D97" s="459"/>
      <c r="E97" s="459"/>
      <c r="F97" s="459"/>
      <c r="G97" s="459"/>
      <c r="H97" s="459"/>
      <c r="I97" s="459"/>
      <c r="J97" s="459"/>
    </row>
    <row r="98" spans="1:11" ht="12.75" hidden="1" customHeight="1" x14ac:dyDescent="0.25">
      <c r="A98" s="459"/>
      <c r="B98" s="459"/>
      <c r="C98" s="459"/>
      <c r="D98" s="459"/>
      <c r="E98" s="459"/>
      <c r="F98" s="459"/>
      <c r="G98" s="459"/>
      <c r="H98" s="459"/>
      <c r="I98" s="459"/>
      <c r="J98" s="459"/>
    </row>
    <row r="99" spans="1:11" ht="12.75" hidden="1" customHeight="1" x14ac:dyDescent="0.25">
      <c r="A99" s="459"/>
      <c r="B99" s="459"/>
      <c r="C99" s="459"/>
      <c r="D99" s="459"/>
      <c r="E99" s="459"/>
      <c r="F99" s="459"/>
      <c r="G99" s="459"/>
      <c r="H99" s="459"/>
      <c r="I99" s="459"/>
      <c r="J99" s="459"/>
    </row>
    <row r="100" spans="1:11" ht="12.75" hidden="1" customHeight="1" x14ac:dyDescent="0.25">
      <c r="A100" s="459"/>
      <c r="B100" s="459"/>
      <c r="C100" s="459"/>
      <c r="D100" s="459"/>
      <c r="E100" s="459"/>
      <c r="F100" s="459"/>
      <c r="G100" s="459"/>
      <c r="H100" s="459"/>
      <c r="I100" s="459"/>
      <c r="J100" s="459"/>
    </row>
    <row r="101" spans="1:11" ht="4.5" customHeight="1" x14ac:dyDescent="0.25">
      <c r="A101" s="459"/>
      <c r="B101" s="459"/>
      <c r="C101" s="459"/>
      <c r="D101" s="459"/>
      <c r="E101" s="459"/>
      <c r="F101" s="459"/>
      <c r="G101" s="459"/>
      <c r="H101" s="459"/>
      <c r="I101" s="459"/>
      <c r="J101" s="459"/>
    </row>
    <row r="102" spans="1:11" ht="7.5" customHeight="1" x14ac:dyDescent="0.25">
      <c r="A102" s="121"/>
      <c r="B102" s="121"/>
      <c r="C102" s="121"/>
      <c r="D102" s="121"/>
      <c r="E102" s="121"/>
      <c r="F102" s="121"/>
      <c r="G102" s="121"/>
      <c r="H102" s="121"/>
      <c r="I102" s="121"/>
      <c r="J102" s="121"/>
    </row>
    <row r="103" spans="1:11" ht="12.75" customHeight="1" x14ac:dyDescent="0.25">
      <c r="A103" s="458" t="s">
        <v>919</v>
      </c>
      <c r="B103" s="459"/>
      <c r="C103" s="459"/>
      <c r="D103" s="459"/>
      <c r="E103" s="459"/>
      <c r="F103" s="459"/>
      <c r="G103" s="459"/>
      <c r="H103" s="459"/>
      <c r="I103" s="459"/>
      <c r="J103" s="459"/>
    </row>
    <row r="104" spans="1:11" ht="12.75" customHeight="1" x14ac:dyDescent="0.25">
      <c r="A104" s="459"/>
      <c r="B104" s="459"/>
      <c r="C104" s="459"/>
      <c r="D104" s="459"/>
      <c r="E104" s="459"/>
      <c r="F104" s="459"/>
      <c r="G104" s="459"/>
      <c r="H104" s="459"/>
      <c r="I104" s="459"/>
      <c r="J104" s="459"/>
    </row>
    <row r="105" spans="1:11" ht="12.75" customHeight="1" x14ac:dyDescent="0.25">
      <c r="A105" s="459"/>
      <c r="B105" s="459"/>
      <c r="C105" s="459"/>
      <c r="D105" s="459"/>
      <c r="E105" s="459"/>
      <c r="F105" s="459"/>
      <c r="G105" s="459"/>
      <c r="H105" s="459"/>
      <c r="I105" s="459"/>
      <c r="J105" s="459"/>
    </row>
    <row r="106" spans="1:11" ht="12.75" customHeight="1" x14ac:dyDescent="0.25">
      <c r="A106" s="46"/>
      <c r="B106" s="46"/>
      <c r="C106" s="46"/>
      <c r="D106" s="46"/>
      <c r="E106" s="46"/>
      <c r="F106" s="46"/>
      <c r="G106" s="46"/>
      <c r="H106" s="46"/>
      <c r="I106" s="46"/>
      <c r="J106" s="46"/>
    </row>
    <row r="107" spans="1:11" ht="20.399999999999999" customHeight="1" x14ac:dyDescent="0.25">
      <c r="A107" s="526" t="s">
        <v>916</v>
      </c>
      <c r="B107" s="527"/>
      <c r="C107" s="527"/>
      <c r="D107" s="527"/>
      <c r="E107" s="527"/>
      <c r="F107" s="527"/>
      <c r="G107" s="527"/>
      <c r="H107" s="527"/>
      <c r="I107" s="527"/>
      <c r="J107" s="527"/>
      <c r="K107" s="527"/>
    </row>
    <row r="108" spans="1:11" ht="12.75" customHeight="1" x14ac:dyDescent="0.25">
      <c r="A108" s="46"/>
      <c r="B108" s="46"/>
      <c r="C108" s="46"/>
      <c r="D108" s="46"/>
      <c r="E108" s="46"/>
      <c r="F108" s="46"/>
      <c r="G108" s="46"/>
      <c r="H108" s="46"/>
      <c r="I108" s="46"/>
      <c r="J108" s="46"/>
    </row>
    <row r="109" spans="1:11" ht="12.75" customHeight="1" x14ac:dyDescent="0.25">
      <c r="A109" s="46"/>
      <c r="B109" s="46"/>
      <c r="C109" s="46"/>
      <c r="D109" s="46"/>
      <c r="E109" s="46"/>
      <c r="F109" s="46"/>
      <c r="G109" s="46"/>
      <c r="H109" s="46"/>
      <c r="I109" s="46"/>
      <c r="J109" s="46"/>
    </row>
    <row r="110" spans="1:11" ht="12.75" customHeight="1" x14ac:dyDescent="0.25">
      <c r="A110" s="46"/>
      <c r="B110" s="46"/>
      <c r="C110" s="46"/>
      <c r="D110" s="46"/>
      <c r="E110" s="46"/>
      <c r="F110" s="46"/>
      <c r="G110" s="46"/>
      <c r="H110" s="46"/>
      <c r="I110" s="46"/>
      <c r="J110" s="46"/>
    </row>
    <row r="111" spans="1:11" ht="12.75" customHeight="1" x14ac:dyDescent="0.25">
      <c r="A111" s="46"/>
      <c r="B111" s="46"/>
      <c r="C111" s="46"/>
      <c r="D111" s="46"/>
      <c r="E111" s="46"/>
      <c r="F111" s="46"/>
      <c r="G111" s="46"/>
      <c r="H111" s="46"/>
      <c r="I111" s="46"/>
      <c r="J111" s="46"/>
    </row>
    <row r="112" spans="1:11" ht="12.75" customHeight="1" x14ac:dyDescent="0.25">
      <c r="A112" s="46"/>
      <c r="B112" s="46"/>
      <c r="C112" s="46"/>
      <c r="D112" s="46"/>
      <c r="E112" s="46"/>
      <c r="F112" s="46"/>
      <c r="G112" s="46"/>
      <c r="H112" s="46"/>
      <c r="I112" s="46"/>
      <c r="J112" s="46"/>
    </row>
    <row r="113" spans="1:12" ht="12.75" customHeight="1" x14ac:dyDescent="0.25">
      <c r="A113" s="46"/>
      <c r="B113" s="46"/>
      <c r="C113" s="46"/>
      <c r="D113" s="46"/>
      <c r="E113" s="46"/>
      <c r="F113" s="46"/>
      <c r="G113" s="46"/>
      <c r="H113" s="46"/>
      <c r="I113" s="46"/>
      <c r="J113" s="46"/>
    </row>
    <row r="114" spans="1:12" ht="12.75" customHeight="1" x14ac:dyDescent="0.25">
      <c r="A114" s="46"/>
      <c r="B114" s="46"/>
      <c r="C114" s="46"/>
      <c r="D114" s="46"/>
      <c r="E114" s="46"/>
      <c r="F114" s="46"/>
      <c r="G114" s="46"/>
      <c r="H114" s="46"/>
      <c r="I114" s="46"/>
      <c r="J114" s="46"/>
    </row>
    <row r="115" spans="1:12" ht="12.75" customHeight="1" x14ac:dyDescent="0.25">
      <c r="A115" s="46"/>
      <c r="B115" s="46"/>
      <c r="C115" s="46"/>
      <c r="D115" s="46"/>
      <c r="E115" s="46"/>
      <c r="F115" s="46"/>
      <c r="G115" s="46"/>
      <c r="H115" s="46"/>
      <c r="I115" s="46"/>
      <c r="J115" s="46"/>
    </row>
    <row r="116" spans="1:12" ht="12.75" customHeight="1" x14ac:dyDescent="0.25">
      <c r="A116" s="46"/>
      <c r="B116" s="46"/>
      <c r="C116" s="46"/>
      <c r="D116" s="46"/>
      <c r="E116" s="46"/>
      <c r="F116" s="46"/>
      <c r="G116" s="46"/>
      <c r="H116" s="46"/>
      <c r="I116" s="46"/>
      <c r="J116" s="46"/>
    </row>
    <row r="117" spans="1:12" ht="12.75" customHeight="1" x14ac:dyDescent="0.25">
      <c r="A117" s="46"/>
      <c r="B117" s="46"/>
      <c r="C117" s="46"/>
      <c r="D117" s="46"/>
      <c r="E117" s="46"/>
      <c r="F117" s="46"/>
      <c r="G117" s="46"/>
      <c r="H117" s="46"/>
      <c r="I117" s="46"/>
      <c r="J117" s="46"/>
    </row>
    <row r="118" spans="1:12" ht="12.75" customHeight="1" x14ac:dyDescent="0.25">
      <c r="A118" s="46"/>
      <c r="B118" s="46"/>
      <c r="C118" s="46"/>
      <c r="D118" s="46"/>
      <c r="E118" s="46"/>
      <c r="F118" s="46"/>
      <c r="G118" s="46"/>
      <c r="H118" s="46"/>
      <c r="I118" s="46"/>
      <c r="J118" s="46"/>
    </row>
    <row r="119" spans="1:12" ht="12.75" customHeight="1" x14ac:dyDescent="0.25">
      <c r="A119" s="46"/>
      <c r="B119" s="46"/>
      <c r="C119" s="46"/>
      <c r="D119" s="46"/>
      <c r="E119" s="46"/>
      <c r="F119" s="46"/>
      <c r="G119" s="46"/>
      <c r="H119" s="46"/>
      <c r="I119" s="46"/>
      <c r="J119" s="46"/>
    </row>
    <row r="120" spans="1:12" ht="12.75" customHeight="1" x14ac:dyDescent="0.25">
      <c r="A120" s="46"/>
      <c r="B120" s="46"/>
      <c r="C120" s="46"/>
      <c r="D120" s="46"/>
      <c r="E120" s="46"/>
      <c r="F120" s="46"/>
      <c r="G120" s="46"/>
      <c r="H120" s="46"/>
      <c r="I120" s="46"/>
      <c r="J120" s="46"/>
    </row>
    <row r="121" spans="1:12" ht="12.75" customHeight="1" x14ac:dyDescent="0.25">
      <c r="A121" s="46"/>
      <c r="B121" s="46"/>
      <c r="C121" s="46"/>
      <c r="D121" s="46"/>
      <c r="E121" s="46"/>
      <c r="F121" s="46"/>
      <c r="G121" s="46"/>
      <c r="H121" s="46"/>
      <c r="I121" s="46"/>
      <c r="J121" s="46"/>
    </row>
    <row r="122" spans="1:12" ht="12.75" customHeight="1" x14ac:dyDescent="0.25">
      <c r="A122" s="46"/>
      <c r="B122" s="46"/>
      <c r="C122" s="46"/>
      <c r="D122" s="46"/>
      <c r="E122" s="46"/>
      <c r="F122" s="46"/>
      <c r="G122" s="46"/>
      <c r="H122" s="46"/>
      <c r="I122" s="46"/>
      <c r="J122" s="46"/>
    </row>
    <row r="123" spans="1:12" ht="12.75" customHeight="1" x14ac:dyDescent="0.25">
      <c r="A123" s="46"/>
      <c r="B123" s="46"/>
      <c r="C123" s="46"/>
      <c r="D123" s="46"/>
      <c r="E123" s="46"/>
      <c r="F123" s="46"/>
      <c r="G123" s="46"/>
      <c r="H123" s="46"/>
      <c r="I123" s="46"/>
      <c r="J123" s="46"/>
    </row>
    <row r="124" spans="1:12" ht="12.75" customHeight="1" x14ac:dyDescent="0.25">
      <c r="A124" s="46"/>
      <c r="B124" s="46"/>
      <c r="C124" s="46"/>
      <c r="D124" s="46"/>
      <c r="E124" s="46"/>
      <c r="F124" s="46"/>
      <c r="G124" s="46"/>
      <c r="H124" s="46"/>
      <c r="I124" s="46"/>
      <c r="J124" s="46"/>
    </row>
    <row r="125" spans="1:12" ht="15.6" x14ac:dyDescent="0.3">
      <c r="A125" s="355" t="s">
        <v>848</v>
      </c>
      <c r="B125" s="356"/>
      <c r="C125" s="356"/>
      <c r="D125" s="356"/>
      <c r="E125" s="356"/>
      <c r="F125" s="356"/>
      <c r="G125" s="356"/>
      <c r="H125" s="353" t="str">
        <f>'CONTACT INFORMATION'!$A$24</f>
        <v>Alameda</v>
      </c>
      <c r="I125" s="353"/>
      <c r="J125" s="354"/>
      <c r="K125" s="189"/>
      <c r="L125" s="189"/>
    </row>
    <row r="126" spans="1:12" ht="8.4" customHeight="1" x14ac:dyDescent="0.3">
      <c r="A126" s="57"/>
      <c r="B126" s="57"/>
      <c r="C126" s="57"/>
      <c r="D126" s="57"/>
      <c r="E126" s="57"/>
      <c r="F126" s="57"/>
      <c r="G126" s="57"/>
      <c r="H126" s="57"/>
      <c r="I126" s="57"/>
      <c r="J126" s="57"/>
      <c r="K126" s="189"/>
      <c r="L126" s="189"/>
    </row>
    <row r="127" spans="1:12" ht="13.8" x14ac:dyDescent="0.25">
      <c r="A127" s="466" t="s">
        <v>807</v>
      </c>
      <c r="B127" s="467"/>
      <c r="C127" s="467"/>
      <c r="D127" s="467"/>
      <c r="E127" s="467"/>
      <c r="F127" s="467"/>
      <c r="G127" s="467"/>
      <c r="H127" s="467"/>
      <c r="I127" s="467"/>
      <c r="J127" s="468"/>
    </row>
    <row r="128" spans="1:12" ht="12.75" customHeight="1" x14ac:dyDescent="0.25">
      <c r="A128" s="463" t="s">
        <v>854</v>
      </c>
      <c r="B128" s="464"/>
      <c r="C128" s="464"/>
      <c r="D128" s="465"/>
      <c r="E128" s="520" t="s">
        <v>938</v>
      </c>
      <c r="F128" s="521"/>
      <c r="G128" s="521"/>
      <c r="H128" s="521"/>
      <c r="I128" s="521"/>
      <c r="J128" s="522"/>
    </row>
    <row r="129" spans="1:16" ht="12.75" customHeight="1" x14ac:dyDescent="0.25">
      <c r="A129" s="503" t="s">
        <v>912</v>
      </c>
      <c r="B129" s="504"/>
      <c r="C129" s="504"/>
      <c r="D129" s="505"/>
      <c r="E129" s="523"/>
      <c r="F129" s="524"/>
      <c r="G129" s="524"/>
      <c r="H129" s="524"/>
      <c r="I129" s="524"/>
      <c r="J129" s="525"/>
    </row>
    <row r="130" spans="1:16" x14ac:dyDescent="0.25">
      <c r="A130" s="506" t="s">
        <v>913</v>
      </c>
      <c r="B130" s="507"/>
      <c r="C130" s="507"/>
      <c r="D130" s="507"/>
      <c r="E130" s="528" t="s">
        <v>473</v>
      </c>
      <c r="F130" s="529"/>
      <c r="G130" s="529"/>
      <c r="H130" s="529"/>
      <c r="I130" s="529"/>
      <c r="J130" s="530"/>
    </row>
    <row r="131" spans="1:16" ht="27" customHeight="1" x14ac:dyDescent="0.25">
      <c r="A131" s="58"/>
      <c r="B131" s="59"/>
      <c r="C131" s="59"/>
      <c r="D131" s="59"/>
      <c r="E131" s="482" t="s">
        <v>535</v>
      </c>
      <c r="F131" s="483"/>
      <c r="G131" s="482" t="s">
        <v>533</v>
      </c>
      <c r="H131" s="483"/>
      <c r="I131" s="484" t="s">
        <v>849</v>
      </c>
      <c r="J131" s="485"/>
    </row>
    <row r="132" spans="1:16" x14ac:dyDescent="0.25">
      <c r="A132" s="510" t="s">
        <v>527</v>
      </c>
      <c r="B132" s="510"/>
      <c r="C132" s="510"/>
      <c r="D132" s="510"/>
      <c r="E132" s="456">
        <v>3251875</v>
      </c>
      <c r="F132" s="456"/>
      <c r="G132" s="456"/>
      <c r="H132" s="456"/>
      <c r="I132" s="457"/>
      <c r="J132" s="457"/>
    </row>
    <row r="133" spans="1:16" x14ac:dyDescent="0.25">
      <c r="A133" s="511" t="s">
        <v>528</v>
      </c>
      <c r="B133" s="511"/>
      <c r="C133" s="511"/>
      <c r="D133" s="511"/>
      <c r="E133" s="460">
        <f>92419+81748+1025-27684</f>
        <v>147508</v>
      </c>
      <c r="F133" s="460"/>
      <c r="G133" s="440"/>
      <c r="H133" s="440"/>
      <c r="I133" s="455"/>
      <c r="J133" s="455"/>
    </row>
    <row r="134" spans="1:16" x14ac:dyDescent="0.25">
      <c r="A134" s="510" t="s">
        <v>529</v>
      </c>
      <c r="B134" s="510"/>
      <c r="C134" s="510"/>
      <c r="D134" s="510"/>
      <c r="E134" s="512"/>
      <c r="F134" s="513"/>
      <c r="G134" s="456"/>
      <c r="H134" s="456"/>
      <c r="I134" s="457"/>
      <c r="J134" s="457"/>
    </row>
    <row r="135" spans="1:16" x14ac:dyDescent="0.25">
      <c r="A135" s="511" t="s">
        <v>530</v>
      </c>
      <c r="B135" s="511"/>
      <c r="C135" s="511"/>
      <c r="D135" s="511"/>
      <c r="E135" s="514"/>
      <c r="F135" s="515"/>
      <c r="G135" s="440"/>
      <c r="H135" s="440"/>
      <c r="I135" s="455"/>
      <c r="J135" s="455"/>
    </row>
    <row r="136" spans="1:16" x14ac:dyDescent="0.25">
      <c r="A136" s="510" t="s">
        <v>531</v>
      </c>
      <c r="B136" s="510"/>
      <c r="C136" s="510"/>
      <c r="D136" s="510"/>
      <c r="E136" s="512"/>
      <c r="F136" s="513"/>
      <c r="G136" s="456"/>
      <c r="H136" s="456"/>
      <c r="I136" s="457"/>
      <c r="J136" s="457"/>
    </row>
    <row r="137" spans="1:16" x14ac:dyDescent="0.25">
      <c r="A137" s="511" t="s">
        <v>532</v>
      </c>
      <c r="B137" s="511"/>
      <c r="C137" s="511"/>
      <c r="D137" s="511"/>
      <c r="E137" s="460">
        <v>27684</v>
      </c>
      <c r="F137" s="460"/>
      <c r="G137" s="440"/>
      <c r="H137" s="440"/>
      <c r="I137" s="455"/>
      <c r="J137" s="455"/>
    </row>
    <row r="138" spans="1:16" x14ac:dyDescent="0.25">
      <c r="A138" s="509" t="s">
        <v>537</v>
      </c>
      <c r="B138" s="510"/>
      <c r="C138" s="510"/>
      <c r="D138" s="510"/>
      <c r="E138" s="517"/>
      <c r="F138" s="518"/>
      <c r="G138" s="451"/>
      <c r="H138" s="451"/>
      <c r="I138" s="445"/>
      <c r="J138" s="445"/>
    </row>
    <row r="139" spans="1:16" x14ac:dyDescent="0.25">
      <c r="A139" s="447" t="s">
        <v>968</v>
      </c>
      <c r="B139" s="437"/>
      <c r="C139" s="437"/>
      <c r="D139" s="438"/>
      <c r="E139" s="460">
        <v>67939</v>
      </c>
      <c r="F139" s="460"/>
      <c r="G139" s="440"/>
      <c r="H139" s="440"/>
      <c r="I139" s="440">
        <v>156846</v>
      </c>
      <c r="J139" s="440"/>
    </row>
    <row r="140" spans="1:16" x14ac:dyDescent="0.25">
      <c r="A140" s="447"/>
      <c r="B140" s="437"/>
      <c r="C140" s="437"/>
      <c r="D140" s="438"/>
      <c r="E140" s="439"/>
      <c r="F140" s="439"/>
      <c r="G140" s="440"/>
      <c r="H140" s="440"/>
      <c r="I140" s="440"/>
      <c r="J140" s="440"/>
    </row>
    <row r="141" spans="1:16" ht="12.75" customHeight="1" x14ac:dyDescent="0.25">
      <c r="A141" s="447"/>
      <c r="B141" s="437"/>
      <c r="C141" s="437"/>
      <c r="D141" s="438"/>
      <c r="E141" s="439"/>
      <c r="F141" s="439"/>
      <c r="G141" s="440"/>
      <c r="H141" s="440"/>
      <c r="I141" s="440"/>
      <c r="J141" s="440"/>
      <c r="P141" s="221"/>
    </row>
    <row r="142" spans="1:16" x14ac:dyDescent="0.25">
      <c r="A142" s="478" t="s">
        <v>534</v>
      </c>
      <c r="B142" s="478"/>
      <c r="C142" s="478"/>
      <c r="D142" s="478"/>
      <c r="E142" s="444">
        <f>SUM(E132:E141)</f>
        <v>3495006</v>
      </c>
      <c r="F142" s="444"/>
      <c r="G142" s="444">
        <f>SUM(G132:G141)</f>
        <v>0</v>
      </c>
      <c r="H142" s="444"/>
      <c r="I142" s="444">
        <f>SUM(I132:I141)</f>
        <v>156846</v>
      </c>
      <c r="J142" s="444"/>
      <c r="L142" s="131"/>
    </row>
    <row r="143" spans="1:16" ht="14.25" customHeight="1" x14ac:dyDescent="0.25">
      <c r="A143" s="494" t="s">
        <v>861</v>
      </c>
      <c r="B143" s="495"/>
      <c r="C143" s="495"/>
      <c r="D143" s="495"/>
      <c r="E143" s="495"/>
      <c r="F143" s="495"/>
      <c r="G143" s="495"/>
      <c r="H143" s="495"/>
      <c r="I143" s="495"/>
      <c r="J143" s="496"/>
      <c r="L143" s="131"/>
    </row>
    <row r="144" spans="1:16" ht="14.25" customHeight="1" x14ac:dyDescent="0.25">
      <c r="A144" s="497" t="s">
        <v>862</v>
      </c>
      <c r="B144" s="498"/>
      <c r="C144" s="498"/>
      <c r="D144" s="498"/>
      <c r="E144" s="498"/>
      <c r="F144" s="498"/>
      <c r="G144" s="498"/>
      <c r="H144" s="498"/>
      <c r="I144" s="498"/>
      <c r="J144" s="499"/>
      <c r="L144" s="131"/>
    </row>
    <row r="145" spans="1:12" ht="14.25" customHeight="1" x14ac:dyDescent="0.25">
      <c r="A145" s="497" t="s">
        <v>863</v>
      </c>
      <c r="B145" s="498"/>
      <c r="C145" s="498"/>
      <c r="D145" s="498"/>
      <c r="E145" s="498"/>
      <c r="F145" s="498"/>
      <c r="G145" s="498"/>
      <c r="H145" s="498"/>
      <c r="I145" s="498"/>
      <c r="J145" s="499"/>
      <c r="L145" s="131"/>
    </row>
    <row r="146" spans="1:12" ht="14.25" customHeight="1" x14ac:dyDescent="0.25">
      <c r="A146" s="500" t="s">
        <v>864</v>
      </c>
      <c r="B146" s="501"/>
      <c r="C146" s="501"/>
      <c r="D146" s="501"/>
      <c r="E146" s="501"/>
      <c r="F146" s="501"/>
      <c r="G146" s="501"/>
      <c r="H146" s="501"/>
      <c r="I146" s="501"/>
      <c r="J146" s="502"/>
      <c r="L146" s="131"/>
    </row>
    <row r="147" spans="1:12" ht="15" customHeight="1" x14ac:dyDescent="0.25">
      <c r="A147" s="469" t="s">
        <v>996</v>
      </c>
      <c r="B147" s="470"/>
      <c r="C147" s="470"/>
      <c r="D147" s="470"/>
      <c r="E147" s="470"/>
      <c r="F147" s="470"/>
      <c r="G147" s="470"/>
      <c r="H147" s="470"/>
      <c r="I147" s="470"/>
      <c r="J147" s="471"/>
      <c r="L147" s="131"/>
    </row>
    <row r="148" spans="1:12" ht="15" customHeight="1" x14ac:dyDescent="0.25">
      <c r="A148" s="472"/>
      <c r="B148" s="473"/>
      <c r="C148" s="473"/>
      <c r="D148" s="473"/>
      <c r="E148" s="473"/>
      <c r="F148" s="473"/>
      <c r="G148" s="473"/>
      <c r="H148" s="473"/>
      <c r="I148" s="473"/>
      <c r="J148" s="474"/>
    </row>
    <row r="149" spans="1:12" ht="15" customHeight="1" x14ac:dyDescent="0.25">
      <c r="A149" s="472"/>
      <c r="B149" s="473"/>
      <c r="C149" s="473"/>
      <c r="D149" s="473"/>
      <c r="E149" s="473"/>
      <c r="F149" s="473"/>
      <c r="G149" s="473"/>
      <c r="H149" s="473"/>
      <c r="I149" s="473"/>
      <c r="J149" s="474"/>
    </row>
    <row r="150" spans="1:12" ht="15" customHeight="1" x14ac:dyDescent="0.25">
      <c r="A150" s="472"/>
      <c r="B150" s="473"/>
      <c r="C150" s="473"/>
      <c r="D150" s="473"/>
      <c r="E150" s="473"/>
      <c r="F150" s="473"/>
      <c r="G150" s="473"/>
      <c r="H150" s="473"/>
      <c r="I150" s="473"/>
      <c r="J150" s="474"/>
    </row>
    <row r="151" spans="1:12" ht="15" customHeight="1" x14ac:dyDescent="0.25">
      <c r="A151" s="472"/>
      <c r="B151" s="473"/>
      <c r="C151" s="473"/>
      <c r="D151" s="473"/>
      <c r="E151" s="473"/>
      <c r="F151" s="473"/>
      <c r="G151" s="473"/>
      <c r="H151" s="473"/>
      <c r="I151" s="473"/>
      <c r="J151" s="474"/>
    </row>
    <row r="152" spans="1:12" ht="15" customHeight="1" x14ac:dyDescent="0.25">
      <c r="A152" s="472"/>
      <c r="B152" s="473"/>
      <c r="C152" s="473"/>
      <c r="D152" s="473"/>
      <c r="E152" s="473"/>
      <c r="F152" s="473"/>
      <c r="G152" s="473"/>
      <c r="H152" s="473"/>
      <c r="I152" s="473"/>
      <c r="J152" s="474"/>
    </row>
    <row r="153" spans="1:12" ht="15" customHeight="1" x14ac:dyDescent="0.25">
      <c r="A153" s="472"/>
      <c r="B153" s="473"/>
      <c r="C153" s="473"/>
      <c r="D153" s="473"/>
      <c r="E153" s="473"/>
      <c r="F153" s="473"/>
      <c r="G153" s="473"/>
      <c r="H153" s="473"/>
      <c r="I153" s="473"/>
      <c r="J153" s="474"/>
    </row>
    <row r="154" spans="1:12" ht="15" customHeight="1" x14ac:dyDescent="0.25">
      <c r="A154" s="472"/>
      <c r="B154" s="473"/>
      <c r="C154" s="473"/>
      <c r="D154" s="473"/>
      <c r="E154" s="473"/>
      <c r="F154" s="473"/>
      <c r="G154" s="473"/>
      <c r="H154" s="473"/>
      <c r="I154" s="473"/>
      <c r="J154" s="474"/>
    </row>
    <row r="155" spans="1:12" ht="15" customHeight="1" x14ac:dyDescent="0.25">
      <c r="A155" s="472"/>
      <c r="B155" s="473"/>
      <c r="C155" s="473"/>
      <c r="D155" s="473"/>
      <c r="E155" s="473"/>
      <c r="F155" s="473"/>
      <c r="G155" s="473"/>
      <c r="H155" s="473"/>
      <c r="I155" s="473"/>
      <c r="J155" s="474"/>
    </row>
    <row r="156" spans="1:12" ht="15" customHeight="1" x14ac:dyDescent="0.25">
      <c r="A156" s="472"/>
      <c r="B156" s="473"/>
      <c r="C156" s="473"/>
      <c r="D156" s="473"/>
      <c r="E156" s="473"/>
      <c r="F156" s="473"/>
      <c r="G156" s="473"/>
      <c r="H156" s="473"/>
      <c r="I156" s="473"/>
      <c r="J156" s="474"/>
    </row>
    <row r="157" spans="1:12" ht="15" customHeight="1" x14ac:dyDescent="0.25">
      <c r="A157" s="472"/>
      <c r="B157" s="473"/>
      <c r="C157" s="473"/>
      <c r="D157" s="473"/>
      <c r="E157" s="473"/>
      <c r="F157" s="473"/>
      <c r="G157" s="473"/>
      <c r="H157" s="473"/>
      <c r="I157" s="473"/>
      <c r="J157" s="474"/>
      <c r="L157" s="131"/>
    </row>
    <row r="158" spans="1:12" ht="15" customHeight="1" x14ac:dyDescent="0.25">
      <c r="A158" s="472"/>
      <c r="B158" s="473"/>
      <c r="C158" s="473"/>
      <c r="D158" s="473"/>
      <c r="E158" s="473"/>
      <c r="F158" s="473"/>
      <c r="G158" s="473"/>
      <c r="H158" s="473"/>
      <c r="I158" s="473"/>
      <c r="J158" s="474"/>
      <c r="L158" s="131"/>
    </row>
    <row r="159" spans="1:12" ht="15" customHeight="1" x14ac:dyDescent="0.25">
      <c r="A159" s="472"/>
      <c r="B159" s="473"/>
      <c r="C159" s="473"/>
      <c r="D159" s="473"/>
      <c r="E159" s="473"/>
      <c r="F159" s="473"/>
      <c r="G159" s="473"/>
      <c r="H159" s="473"/>
      <c r="I159" s="473"/>
      <c r="J159" s="474"/>
      <c r="L159" s="131"/>
    </row>
    <row r="160" spans="1:12" ht="15" customHeight="1" x14ac:dyDescent="0.25">
      <c r="A160" s="472"/>
      <c r="B160" s="473"/>
      <c r="C160" s="473"/>
      <c r="D160" s="473"/>
      <c r="E160" s="473"/>
      <c r="F160" s="473"/>
      <c r="G160" s="473"/>
      <c r="H160" s="473"/>
      <c r="I160" s="473"/>
      <c r="J160" s="474"/>
      <c r="L160" s="131"/>
    </row>
    <row r="161" spans="1:12" ht="15" customHeight="1" x14ac:dyDescent="0.25">
      <c r="A161" s="472"/>
      <c r="B161" s="473"/>
      <c r="C161" s="473"/>
      <c r="D161" s="473"/>
      <c r="E161" s="473"/>
      <c r="F161" s="473"/>
      <c r="G161" s="473"/>
      <c r="H161" s="473"/>
      <c r="I161" s="473"/>
      <c r="J161" s="474"/>
      <c r="L161" s="131"/>
    </row>
    <row r="162" spans="1:12" ht="15" customHeight="1" x14ac:dyDescent="0.25">
      <c r="A162" s="472"/>
      <c r="B162" s="473"/>
      <c r="C162" s="473"/>
      <c r="D162" s="473"/>
      <c r="E162" s="473"/>
      <c r="F162" s="473"/>
      <c r="G162" s="473"/>
      <c r="H162" s="473"/>
      <c r="I162" s="473"/>
      <c r="J162" s="474"/>
      <c r="L162" s="131"/>
    </row>
    <row r="163" spans="1:12" ht="15" customHeight="1" x14ac:dyDescent="0.25">
      <c r="A163" s="472"/>
      <c r="B163" s="473"/>
      <c r="C163" s="473"/>
      <c r="D163" s="473"/>
      <c r="E163" s="473"/>
      <c r="F163" s="473"/>
      <c r="G163" s="473"/>
      <c r="H163" s="473"/>
      <c r="I163" s="473"/>
      <c r="J163" s="474"/>
      <c r="L163" s="131"/>
    </row>
    <row r="164" spans="1:12" ht="15" customHeight="1" x14ac:dyDescent="0.25">
      <c r="A164" s="472"/>
      <c r="B164" s="473"/>
      <c r="C164" s="473"/>
      <c r="D164" s="473"/>
      <c r="E164" s="473"/>
      <c r="F164" s="473"/>
      <c r="G164" s="473"/>
      <c r="H164" s="473"/>
      <c r="I164" s="473"/>
      <c r="J164" s="474"/>
      <c r="L164" s="131"/>
    </row>
    <row r="165" spans="1:12" ht="15" customHeight="1" x14ac:dyDescent="0.25">
      <c r="A165" s="472"/>
      <c r="B165" s="473"/>
      <c r="C165" s="473"/>
      <c r="D165" s="473"/>
      <c r="E165" s="473"/>
      <c r="F165" s="473"/>
      <c r="G165" s="473"/>
      <c r="H165" s="473"/>
      <c r="I165" s="473"/>
      <c r="J165" s="474"/>
      <c r="L165" s="131"/>
    </row>
    <row r="166" spans="1:12" ht="15" customHeight="1" x14ac:dyDescent="0.25">
      <c r="A166" s="472"/>
      <c r="B166" s="473"/>
      <c r="C166" s="473"/>
      <c r="D166" s="473"/>
      <c r="E166" s="473"/>
      <c r="F166" s="473"/>
      <c r="G166" s="473"/>
      <c r="H166" s="473"/>
      <c r="I166" s="473"/>
      <c r="J166" s="474"/>
      <c r="L166" s="131"/>
    </row>
    <row r="167" spans="1:12" ht="15" customHeight="1" x14ac:dyDescent="0.25">
      <c r="A167" s="472"/>
      <c r="B167" s="473"/>
      <c r="C167" s="473"/>
      <c r="D167" s="473"/>
      <c r="E167" s="473"/>
      <c r="F167" s="473"/>
      <c r="G167" s="473"/>
      <c r="H167" s="473"/>
      <c r="I167" s="473"/>
      <c r="J167" s="474"/>
      <c r="L167" s="131"/>
    </row>
    <row r="168" spans="1:12" ht="15" customHeight="1" x14ac:dyDescent="0.25">
      <c r="A168" s="472"/>
      <c r="B168" s="473"/>
      <c r="C168" s="473"/>
      <c r="D168" s="473"/>
      <c r="E168" s="473"/>
      <c r="F168" s="473"/>
      <c r="G168" s="473"/>
      <c r="H168" s="473"/>
      <c r="I168" s="473"/>
      <c r="J168" s="474"/>
      <c r="L168" s="131"/>
    </row>
    <row r="169" spans="1:12" ht="15" customHeight="1" x14ac:dyDescent="0.25">
      <c r="A169" s="472"/>
      <c r="B169" s="473"/>
      <c r="C169" s="473"/>
      <c r="D169" s="473"/>
      <c r="E169" s="473"/>
      <c r="F169" s="473"/>
      <c r="G169" s="473"/>
      <c r="H169" s="473"/>
      <c r="I169" s="473"/>
      <c r="J169" s="474"/>
      <c r="L169" s="131"/>
    </row>
    <row r="170" spans="1:12" ht="15" customHeight="1" x14ac:dyDescent="0.25">
      <c r="A170" s="472"/>
      <c r="B170" s="473"/>
      <c r="C170" s="473"/>
      <c r="D170" s="473"/>
      <c r="E170" s="473"/>
      <c r="F170" s="473"/>
      <c r="G170" s="473"/>
      <c r="H170" s="473"/>
      <c r="I170" s="473"/>
      <c r="J170" s="474"/>
      <c r="K170" s="189"/>
      <c r="L170" s="189"/>
    </row>
    <row r="171" spans="1:12" ht="15" customHeight="1" x14ac:dyDescent="0.25">
      <c r="A171" s="472"/>
      <c r="B171" s="473"/>
      <c r="C171" s="473"/>
      <c r="D171" s="473"/>
      <c r="E171" s="473"/>
      <c r="F171" s="473"/>
      <c r="G171" s="473"/>
      <c r="H171" s="473"/>
      <c r="I171" s="473"/>
      <c r="J171" s="474"/>
    </row>
    <row r="172" spans="1:12" ht="15" customHeight="1" x14ac:dyDescent="0.25">
      <c r="A172" s="472"/>
      <c r="B172" s="473"/>
      <c r="C172" s="473"/>
      <c r="D172" s="473"/>
      <c r="E172" s="473"/>
      <c r="F172" s="473"/>
      <c r="G172" s="473"/>
      <c r="H172" s="473"/>
      <c r="I172" s="473"/>
      <c r="J172" s="474"/>
    </row>
    <row r="173" spans="1:12" ht="17.399999999999999" customHeight="1" x14ac:dyDescent="0.25">
      <c r="A173" s="472"/>
      <c r="B173" s="473"/>
      <c r="C173" s="473"/>
      <c r="D173" s="473"/>
      <c r="E173" s="473"/>
      <c r="F173" s="473"/>
      <c r="G173" s="473"/>
      <c r="H173" s="473"/>
      <c r="I173" s="473"/>
      <c r="J173" s="474"/>
    </row>
    <row r="174" spans="1:12" ht="43.2" customHeight="1" x14ac:dyDescent="0.25">
      <c r="A174" s="475"/>
      <c r="B174" s="476"/>
      <c r="C174" s="476"/>
      <c r="D174" s="476"/>
      <c r="E174" s="476"/>
      <c r="F174" s="476"/>
      <c r="G174" s="476"/>
      <c r="H174" s="476"/>
      <c r="I174" s="476"/>
      <c r="J174" s="477"/>
    </row>
    <row r="175" spans="1:12" ht="15" customHeight="1" x14ac:dyDescent="0.25">
      <c r="A175" s="187"/>
      <c r="B175" s="187"/>
      <c r="C175" s="187"/>
      <c r="D175" s="187"/>
      <c r="E175" s="187"/>
      <c r="F175" s="187"/>
      <c r="G175" s="187"/>
      <c r="H175" s="187"/>
      <c r="I175" s="187"/>
      <c r="J175" s="187"/>
    </row>
    <row r="176" spans="1:12" ht="15" customHeight="1" x14ac:dyDescent="0.25">
      <c r="A176" s="187"/>
      <c r="B176" s="187"/>
      <c r="C176" s="187"/>
      <c r="D176" s="187"/>
      <c r="E176" s="187"/>
      <c r="F176" s="187"/>
      <c r="G176" s="187"/>
      <c r="H176" s="187"/>
      <c r="I176" s="187"/>
      <c r="J176" s="187"/>
    </row>
    <row r="177" spans="1:20" ht="15.6" x14ac:dyDescent="0.3">
      <c r="A177" s="355" t="s">
        <v>848</v>
      </c>
      <c r="B177" s="356"/>
      <c r="C177" s="356"/>
      <c r="D177" s="356"/>
      <c r="E177" s="356"/>
      <c r="F177" s="356"/>
      <c r="G177" s="356"/>
      <c r="H177" s="353" t="str">
        <f>'CONTACT INFORMATION'!$A$24</f>
        <v>Alameda</v>
      </c>
      <c r="I177" s="353"/>
      <c r="J177" s="354"/>
      <c r="K177" s="222"/>
      <c r="L177" s="222"/>
      <c r="M177" s="222"/>
      <c r="N177" s="222"/>
      <c r="O177" s="222"/>
      <c r="P177" s="222"/>
      <c r="Q177" s="222"/>
      <c r="R177" s="222"/>
      <c r="S177" s="222"/>
      <c r="T177" s="158"/>
    </row>
    <row r="178" spans="1:20" ht="8.1" customHeight="1" x14ac:dyDescent="0.25">
      <c r="A178" s="163"/>
      <c r="B178" s="163"/>
      <c r="C178" s="163"/>
      <c r="D178" s="163"/>
      <c r="E178" s="163"/>
      <c r="F178" s="163"/>
      <c r="G178" s="163"/>
      <c r="H178" s="163"/>
      <c r="I178" s="163"/>
      <c r="J178" s="163"/>
    </row>
    <row r="179" spans="1:20" ht="13.8" x14ac:dyDescent="0.25">
      <c r="A179" s="466" t="s">
        <v>809</v>
      </c>
      <c r="B179" s="467"/>
      <c r="C179" s="467"/>
      <c r="D179" s="467"/>
      <c r="E179" s="467"/>
      <c r="F179" s="467"/>
      <c r="G179" s="467"/>
      <c r="H179" s="467"/>
      <c r="I179" s="467"/>
      <c r="J179" s="468"/>
    </row>
    <row r="180" spans="1:20" ht="12.75" customHeight="1" x14ac:dyDescent="0.25">
      <c r="A180" s="463" t="s">
        <v>854</v>
      </c>
      <c r="B180" s="464"/>
      <c r="C180" s="464"/>
      <c r="D180" s="465"/>
      <c r="E180" s="520" t="s">
        <v>939</v>
      </c>
      <c r="F180" s="521"/>
      <c r="G180" s="521"/>
      <c r="H180" s="521"/>
      <c r="I180" s="521"/>
      <c r="J180" s="522"/>
    </row>
    <row r="181" spans="1:20" ht="12.75" customHeight="1" x14ac:dyDescent="0.25">
      <c r="A181" s="503" t="s">
        <v>912</v>
      </c>
      <c r="B181" s="504"/>
      <c r="C181" s="504"/>
      <c r="D181" s="505"/>
      <c r="E181" s="523"/>
      <c r="F181" s="524"/>
      <c r="G181" s="524"/>
      <c r="H181" s="524"/>
      <c r="I181" s="524"/>
      <c r="J181" s="525"/>
    </row>
    <row r="182" spans="1:20" x14ac:dyDescent="0.25">
      <c r="A182" s="506" t="s">
        <v>913</v>
      </c>
      <c r="B182" s="507"/>
      <c r="C182" s="507"/>
      <c r="D182" s="507"/>
      <c r="E182" s="479" t="s">
        <v>489</v>
      </c>
      <c r="F182" s="480"/>
      <c r="G182" s="480"/>
      <c r="H182" s="480"/>
      <c r="I182" s="480"/>
      <c r="J182" s="481"/>
    </row>
    <row r="183" spans="1:20" s="158" customFormat="1" ht="27" customHeight="1" x14ac:dyDescent="0.25">
      <c r="A183" s="157"/>
      <c r="B183" s="208"/>
      <c r="C183" s="208"/>
      <c r="D183" s="208"/>
      <c r="E183" s="482" t="s">
        <v>535</v>
      </c>
      <c r="F183" s="483"/>
      <c r="G183" s="482" t="s">
        <v>533</v>
      </c>
      <c r="H183" s="483"/>
      <c r="I183" s="484" t="s">
        <v>849</v>
      </c>
      <c r="J183" s="485"/>
      <c r="K183" s="39"/>
      <c r="L183" s="39"/>
      <c r="M183" s="39"/>
      <c r="N183" s="39"/>
      <c r="O183" s="39"/>
      <c r="P183" s="39"/>
      <c r="Q183" s="39"/>
      <c r="R183" s="39"/>
      <c r="S183" s="39"/>
      <c r="T183"/>
    </row>
    <row r="184" spans="1:20" x14ac:dyDescent="0.25">
      <c r="A184" s="448" t="s">
        <v>527</v>
      </c>
      <c r="B184" s="449"/>
      <c r="C184" s="449"/>
      <c r="D184" s="450"/>
      <c r="E184" s="456"/>
      <c r="F184" s="456"/>
      <c r="G184" s="456">
        <v>1561976</v>
      </c>
      <c r="H184" s="456"/>
      <c r="I184" s="457"/>
      <c r="J184" s="457"/>
    </row>
    <row r="185" spans="1:20" x14ac:dyDescent="0.25">
      <c r="A185" s="452" t="s">
        <v>528</v>
      </c>
      <c r="B185" s="453"/>
      <c r="C185" s="453"/>
      <c r="D185" s="454"/>
      <c r="E185" s="439"/>
      <c r="F185" s="439"/>
      <c r="G185" s="440">
        <f>456621-G189+58724-3994-G186</f>
        <v>62310</v>
      </c>
      <c r="H185" s="440"/>
      <c r="I185" s="455"/>
      <c r="J185" s="455"/>
    </row>
    <row r="186" spans="1:20" x14ac:dyDescent="0.25">
      <c r="A186" s="448" t="s">
        <v>529</v>
      </c>
      <c r="B186" s="449"/>
      <c r="C186" s="449"/>
      <c r="D186" s="450"/>
      <c r="E186" s="456"/>
      <c r="F186" s="456"/>
      <c r="G186" s="456">
        <v>9475</v>
      </c>
      <c r="H186" s="456"/>
      <c r="I186" s="457"/>
      <c r="J186" s="457"/>
    </row>
    <row r="187" spans="1:20" x14ac:dyDescent="0.25">
      <c r="A187" s="452" t="s">
        <v>530</v>
      </c>
      <c r="B187" s="453"/>
      <c r="C187" s="453"/>
      <c r="D187" s="454"/>
      <c r="E187" s="439"/>
      <c r="F187" s="439"/>
      <c r="G187" s="440"/>
      <c r="H187" s="440"/>
      <c r="I187" s="455"/>
      <c r="J187" s="455"/>
    </row>
    <row r="188" spans="1:20" x14ac:dyDescent="0.25">
      <c r="A188" s="448" t="s">
        <v>531</v>
      </c>
      <c r="B188" s="449"/>
      <c r="C188" s="449"/>
      <c r="D188" s="450"/>
      <c r="E188" s="456"/>
      <c r="F188" s="456"/>
      <c r="G188" s="456"/>
      <c r="H188" s="456"/>
      <c r="I188" s="457"/>
      <c r="J188" s="457"/>
    </row>
    <row r="189" spans="1:20" x14ac:dyDescent="0.25">
      <c r="A189" s="452" t="s">
        <v>532</v>
      </c>
      <c r="B189" s="453"/>
      <c r="C189" s="453"/>
      <c r="D189" s="454"/>
      <c r="E189" s="439"/>
      <c r="F189" s="439"/>
      <c r="G189" s="440">
        <v>439566</v>
      </c>
      <c r="H189" s="440"/>
      <c r="I189" s="455"/>
      <c r="J189" s="455"/>
    </row>
    <row r="190" spans="1:20" x14ac:dyDescent="0.25">
      <c r="A190" s="448" t="s">
        <v>537</v>
      </c>
      <c r="B190" s="449"/>
      <c r="C190" s="449"/>
      <c r="D190" s="450"/>
      <c r="E190" s="451"/>
      <c r="F190" s="451"/>
      <c r="G190" s="451"/>
      <c r="H190" s="451"/>
      <c r="I190" s="445"/>
      <c r="J190" s="445"/>
    </row>
    <row r="191" spans="1:20" x14ac:dyDescent="0.25">
      <c r="A191" s="538" t="s">
        <v>968</v>
      </c>
      <c r="B191" s="539"/>
      <c r="C191" s="539"/>
      <c r="D191" s="540"/>
      <c r="E191" s="439"/>
      <c r="F191" s="439"/>
      <c r="G191" s="440">
        <v>26032</v>
      </c>
      <c r="H191" s="440"/>
      <c r="I191" s="440"/>
      <c r="J191" s="440"/>
    </row>
    <row r="192" spans="1:20" x14ac:dyDescent="0.25">
      <c r="A192" s="436"/>
      <c r="B192" s="437"/>
      <c r="C192" s="437"/>
      <c r="D192" s="438"/>
      <c r="E192" s="439"/>
      <c r="F192" s="439"/>
      <c r="G192" s="440"/>
      <c r="H192" s="440"/>
      <c r="I192" s="440"/>
      <c r="J192" s="440"/>
    </row>
    <row r="193" spans="1:19" ht="12.75" customHeight="1" x14ac:dyDescent="0.25">
      <c r="A193" s="436"/>
      <c r="B193" s="437"/>
      <c r="C193" s="437"/>
      <c r="D193" s="438"/>
      <c r="E193" s="439"/>
      <c r="F193" s="439"/>
      <c r="G193" s="440"/>
      <c r="H193" s="440"/>
      <c r="I193" s="440"/>
      <c r="J193" s="440"/>
    </row>
    <row r="194" spans="1:19" x14ac:dyDescent="0.25">
      <c r="A194" s="441" t="s">
        <v>534</v>
      </c>
      <c r="B194" s="442"/>
      <c r="C194" s="442"/>
      <c r="D194" s="443"/>
      <c r="E194" s="444">
        <f>SUM(E184:E193)</f>
        <v>0</v>
      </c>
      <c r="F194" s="444"/>
      <c r="G194" s="444">
        <f>SUM(G184:G193)</f>
        <v>2099359</v>
      </c>
      <c r="H194" s="444"/>
      <c r="I194" s="444">
        <f>SUM(I184:I193)</f>
        <v>0</v>
      </c>
      <c r="J194" s="444"/>
    </row>
    <row r="195" spans="1:19" s="1" customFormat="1" ht="14.25" customHeight="1" x14ac:dyDescent="0.25">
      <c r="A195" s="494" t="s">
        <v>861</v>
      </c>
      <c r="B195" s="495"/>
      <c r="C195" s="495"/>
      <c r="D195" s="495"/>
      <c r="E195" s="495"/>
      <c r="F195" s="495"/>
      <c r="G195" s="495"/>
      <c r="H195" s="495"/>
      <c r="I195" s="495"/>
      <c r="J195" s="496"/>
      <c r="K195" s="211"/>
      <c r="L195" s="211"/>
      <c r="M195" s="211"/>
      <c r="N195" s="211"/>
      <c r="O195" s="211"/>
      <c r="P195" s="211"/>
      <c r="Q195" s="211"/>
      <c r="R195" s="211"/>
      <c r="S195" s="211"/>
    </row>
    <row r="196" spans="1:19" s="1" customFormat="1" ht="14.25" customHeight="1" x14ac:dyDescent="0.25">
      <c r="A196" s="497" t="s">
        <v>862</v>
      </c>
      <c r="B196" s="498"/>
      <c r="C196" s="498"/>
      <c r="D196" s="498"/>
      <c r="E196" s="498"/>
      <c r="F196" s="498"/>
      <c r="G196" s="498"/>
      <c r="H196" s="498"/>
      <c r="I196" s="498"/>
      <c r="J196" s="499"/>
      <c r="K196" s="211"/>
      <c r="L196" s="211"/>
      <c r="M196" s="211"/>
      <c r="N196" s="211"/>
      <c r="O196" s="211"/>
      <c r="P196" s="211"/>
      <c r="Q196" s="211"/>
      <c r="R196" s="211"/>
      <c r="S196" s="211"/>
    </row>
    <row r="197" spans="1:19" ht="14.25" customHeight="1" x14ac:dyDescent="0.25">
      <c r="A197" s="497" t="s">
        <v>863</v>
      </c>
      <c r="B197" s="498"/>
      <c r="C197" s="498"/>
      <c r="D197" s="498"/>
      <c r="E197" s="498"/>
      <c r="F197" s="498"/>
      <c r="G197" s="498"/>
      <c r="H197" s="498"/>
      <c r="I197" s="498"/>
      <c r="J197" s="499"/>
    </row>
    <row r="198" spans="1:19" ht="14.25" customHeight="1" x14ac:dyDescent="0.25">
      <c r="A198" s="500" t="s">
        <v>864</v>
      </c>
      <c r="B198" s="501"/>
      <c r="C198" s="501"/>
      <c r="D198" s="501"/>
      <c r="E198" s="501"/>
      <c r="F198" s="501"/>
      <c r="G198" s="501"/>
      <c r="H198" s="501"/>
      <c r="I198" s="501"/>
      <c r="J198" s="502"/>
    </row>
    <row r="199" spans="1:19" ht="15.75" customHeight="1" x14ac:dyDescent="0.25">
      <c r="A199" s="305" t="s">
        <v>971</v>
      </c>
      <c r="B199" s="486"/>
      <c r="C199" s="486"/>
      <c r="D199" s="486"/>
      <c r="E199" s="486"/>
      <c r="F199" s="486"/>
      <c r="G199" s="486"/>
      <c r="H199" s="486"/>
      <c r="I199" s="486"/>
      <c r="J199" s="487"/>
    </row>
    <row r="200" spans="1:19" ht="15" customHeight="1" x14ac:dyDescent="0.25">
      <c r="A200" s="488"/>
      <c r="B200" s="489"/>
      <c r="C200" s="489"/>
      <c r="D200" s="489"/>
      <c r="E200" s="489"/>
      <c r="F200" s="489"/>
      <c r="G200" s="489"/>
      <c r="H200" s="489"/>
      <c r="I200" s="489"/>
      <c r="J200" s="490"/>
    </row>
    <row r="201" spans="1:19" ht="15" customHeight="1" x14ac:dyDescent="0.25">
      <c r="A201" s="488"/>
      <c r="B201" s="489"/>
      <c r="C201" s="489"/>
      <c r="D201" s="489"/>
      <c r="E201" s="489"/>
      <c r="F201" s="489"/>
      <c r="G201" s="489"/>
      <c r="H201" s="489"/>
      <c r="I201" s="489"/>
      <c r="J201" s="490"/>
    </row>
    <row r="202" spans="1:19" ht="15" customHeight="1" x14ac:dyDescent="0.25">
      <c r="A202" s="488"/>
      <c r="B202" s="489"/>
      <c r="C202" s="489"/>
      <c r="D202" s="489"/>
      <c r="E202" s="489"/>
      <c r="F202" s="489"/>
      <c r="G202" s="489"/>
      <c r="H202" s="489"/>
      <c r="I202" s="489"/>
      <c r="J202" s="490"/>
    </row>
    <row r="203" spans="1:19" ht="15" customHeight="1" x14ac:dyDescent="0.25">
      <c r="A203" s="488"/>
      <c r="B203" s="489"/>
      <c r="C203" s="489"/>
      <c r="D203" s="489"/>
      <c r="E203" s="489"/>
      <c r="F203" s="489"/>
      <c r="G203" s="489"/>
      <c r="H203" s="489"/>
      <c r="I203" s="489"/>
      <c r="J203" s="490"/>
    </row>
    <row r="204" spans="1:19" ht="15" customHeight="1" x14ac:dyDescent="0.25">
      <c r="A204" s="488"/>
      <c r="B204" s="489"/>
      <c r="C204" s="489"/>
      <c r="D204" s="489"/>
      <c r="E204" s="489"/>
      <c r="F204" s="489"/>
      <c r="G204" s="489"/>
      <c r="H204" s="489"/>
      <c r="I204" s="489"/>
      <c r="J204" s="490"/>
    </row>
    <row r="205" spans="1:19" ht="15" customHeight="1" x14ac:dyDescent="0.25">
      <c r="A205" s="488"/>
      <c r="B205" s="489"/>
      <c r="C205" s="489"/>
      <c r="D205" s="489"/>
      <c r="E205" s="489"/>
      <c r="F205" s="489"/>
      <c r="G205" s="489"/>
      <c r="H205" s="489"/>
      <c r="I205" s="489"/>
      <c r="J205" s="490"/>
    </row>
    <row r="206" spans="1:19" ht="15" customHeight="1" x14ac:dyDescent="0.25">
      <c r="A206" s="488"/>
      <c r="B206" s="489"/>
      <c r="C206" s="489"/>
      <c r="D206" s="489"/>
      <c r="E206" s="489"/>
      <c r="F206" s="489"/>
      <c r="G206" s="489"/>
      <c r="H206" s="489"/>
      <c r="I206" s="489"/>
      <c r="J206" s="490"/>
    </row>
    <row r="207" spans="1:19" ht="15" customHeight="1" x14ac:dyDescent="0.25">
      <c r="A207" s="488"/>
      <c r="B207" s="489"/>
      <c r="C207" s="489"/>
      <c r="D207" s="489"/>
      <c r="E207" s="489"/>
      <c r="F207" s="489"/>
      <c r="G207" s="489"/>
      <c r="H207" s="489"/>
      <c r="I207" s="489"/>
      <c r="J207" s="490"/>
    </row>
    <row r="208" spans="1:19" ht="15" customHeight="1" x14ac:dyDescent="0.25">
      <c r="A208" s="488"/>
      <c r="B208" s="489"/>
      <c r="C208" s="489"/>
      <c r="D208" s="489"/>
      <c r="E208" s="489"/>
      <c r="F208" s="489"/>
      <c r="G208" s="489"/>
      <c r="H208" s="489"/>
      <c r="I208" s="489"/>
      <c r="J208" s="490"/>
    </row>
    <row r="209" spans="1:12" ht="15" customHeight="1" x14ac:dyDescent="0.25">
      <c r="A209" s="488"/>
      <c r="B209" s="489"/>
      <c r="C209" s="489"/>
      <c r="D209" s="489"/>
      <c r="E209" s="489"/>
      <c r="F209" s="489"/>
      <c r="G209" s="489"/>
      <c r="H209" s="489"/>
      <c r="I209" s="489"/>
      <c r="J209" s="490"/>
    </row>
    <row r="210" spans="1:12" ht="15" customHeight="1" x14ac:dyDescent="0.25">
      <c r="A210" s="488"/>
      <c r="B210" s="489"/>
      <c r="C210" s="489"/>
      <c r="D210" s="489"/>
      <c r="E210" s="489"/>
      <c r="F210" s="489"/>
      <c r="G210" s="489"/>
      <c r="H210" s="489"/>
      <c r="I210" s="489"/>
      <c r="J210" s="490"/>
    </row>
    <row r="211" spans="1:12" ht="15" customHeight="1" x14ac:dyDescent="0.25">
      <c r="A211" s="488"/>
      <c r="B211" s="489"/>
      <c r="C211" s="489"/>
      <c r="D211" s="489"/>
      <c r="E211" s="489"/>
      <c r="F211" s="489"/>
      <c r="G211" s="489"/>
      <c r="H211" s="489"/>
      <c r="I211" s="489"/>
      <c r="J211" s="490"/>
    </row>
    <row r="212" spans="1:12" ht="15" customHeight="1" x14ac:dyDescent="0.25">
      <c r="A212" s="488"/>
      <c r="B212" s="489"/>
      <c r="C212" s="489"/>
      <c r="D212" s="489"/>
      <c r="E212" s="489"/>
      <c r="F212" s="489"/>
      <c r="G212" s="489"/>
      <c r="H212" s="489"/>
      <c r="I212" s="489"/>
      <c r="J212" s="490"/>
    </row>
    <row r="213" spans="1:12" ht="15" customHeight="1" x14ac:dyDescent="0.25">
      <c r="A213" s="488"/>
      <c r="B213" s="489"/>
      <c r="C213" s="489"/>
      <c r="D213" s="489"/>
      <c r="E213" s="489"/>
      <c r="F213" s="489"/>
      <c r="G213" s="489"/>
      <c r="H213" s="489"/>
      <c r="I213" s="489"/>
      <c r="J213" s="490"/>
    </row>
    <row r="214" spans="1:12" ht="15" customHeight="1" x14ac:dyDescent="0.25">
      <c r="A214" s="488"/>
      <c r="B214" s="489"/>
      <c r="C214" s="489"/>
      <c r="D214" s="489"/>
      <c r="E214" s="489"/>
      <c r="F214" s="489"/>
      <c r="G214" s="489"/>
      <c r="H214" s="489"/>
      <c r="I214" s="489"/>
      <c r="J214" s="490"/>
    </row>
    <row r="215" spans="1:12" ht="15" customHeight="1" x14ac:dyDescent="0.25">
      <c r="A215" s="488"/>
      <c r="B215" s="489"/>
      <c r="C215" s="489"/>
      <c r="D215" s="489"/>
      <c r="E215" s="489"/>
      <c r="F215" s="489"/>
      <c r="G215" s="489"/>
      <c r="H215" s="489"/>
      <c r="I215" s="489"/>
      <c r="J215" s="490"/>
    </row>
    <row r="216" spans="1:12" ht="15" customHeight="1" x14ac:dyDescent="0.25">
      <c r="A216" s="488"/>
      <c r="B216" s="489"/>
      <c r="C216" s="489"/>
      <c r="D216" s="489"/>
      <c r="E216" s="489"/>
      <c r="F216" s="489"/>
      <c r="G216" s="489"/>
      <c r="H216" s="489"/>
      <c r="I216" s="489"/>
      <c r="J216" s="490"/>
    </row>
    <row r="217" spans="1:12" ht="15" customHeight="1" x14ac:dyDescent="0.25">
      <c r="A217" s="488"/>
      <c r="B217" s="489"/>
      <c r="C217" s="489"/>
      <c r="D217" s="489"/>
      <c r="E217" s="489"/>
      <c r="F217" s="489"/>
      <c r="G217" s="489"/>
      <c r="H217" s="489"/>
      <c r="I217" s="489"/>
      <c r="J217" s="490"/>
    </row>
    <row r="218" spans="1:12" ht="15" customHeight="1" x14ac:dyDescent="0.25">
      <c r="A218" s="488"/>
      <c r="B218" s="489"/>
      <c r="C218" s="489"/>
      <c r="D218" s="489"/>
      <c r="E218" s="489"/>
      <c r="F218" s="489"/>
      <c r="G218" s="489"/>
      <c r="H218" s="489"/>
      <c r="I218" s="489"/>
      <c r="J218" s="490"/>
    </row>
    <row r="219" spans="1:12" ht="15" customHeight="1" x14ac:dyDescent="0.25">
      <c r="A219" s="488"/>
      <c r="B219" s="489"/>
      <c r="C219" s="489"/>
      <c r="D219" s="489"/>
      <c r="E219" s="489"/>
      <c r="F219" s="489"/>
      <c r="G219" s="489"/>
      <c r="H219" s="489"/>
      <c r="I219" s="489"/>
      <c r="J219" s="490"/>
    </row>
    <row r="220" spans="1:12" ht="15" customHeight="1" x14ac:dyDescent="0.25">
      <c r="A220" s="488"/>
      <c r="B220" s="489"/>
      <c r="C220" s="489"/>
      <c r="D220" s="489"/>
      <c r="E220" s="489"/>
      <c r="F220" s="489"/>
      <c r="G220" s="489"/>
      <c r="H220" s="489"/>
      <c r="I220" s="489"/>
      <c r="J220" s="490"/>
    </row>
    <row r="221" spans="1:12" ht="15" customHeight="1" x14ac:dyDescent="0.25">
      <c r="A221" s="488"/>
      <c r="B221" s="489"/>
      <c r="C221" s="489"/>
      <c r="D221" s="489"/>
      <c r="E221" s="489"/>
      <c r="F221" s="489"/>
      <c r="G221" s="489"/>
      <c r="H221" s="489"/>
      <c r="I221" s="489"/>
      <c r="J221" s="490"/>
      <c r="K221" s="189"/>
      <c r="L221" s="189"/>
    </row>
    <row r="222" spans="1:12" ht="15" customHeight="1" x14ac:dyDescent="0.25">
      <c r="A222" s="488"/>
      <c r="B222" s="489"/>
      <c r="C222" s="489"/>
      <c r="D222" s="489"/>
      <c r="E222" s="489"/>
      <c r="F222" s="489"/>
      <c r="G222" s="489"/>
      <c r="H222" s="489"/>
      <c r="I222" s="489"/>
      <c r="J222" s="490"/>
    </row>
    <row r="223" spans="1:12" ht="15" customHeight="1" x14ac:dyDescent="0.25">
      <c r="A223" s="488"/>
      <c r="B223" s="489"/>
      <c r="C223" s="489"/>
      <c r="D223" s="489"/>
      <c r="E223" s="489"/>
      <c r="F223" s="489"/>
      <c r="G223" s="489"/>
      <c r="H223" s="489"/>
      <c r="I223" s="489"/>
      <c r="J223" s="490"/>
    </row>
    <row r="224" spans="1:12" ht="15" customHeight="1" x14ac:dyDescent="0.25">
      <c r="A224" s="488"/>
      <c r="B224" s="489"/>
      <c r="C224" s="489"/>
      <c r="D224" s="489"/>
      <c r="E224" s="489"/>
      <c r="F224" s="489"/>
      <c r="G224" s="489"/>
      <c r="H224" s="489"/>
      <c r="I224" s="489"/>
      <c r="J224" s="490"/>
    </row>
    <row r="225" spans="1:10" ht="15" customHeight="1" x14ac:dyDescent="0.25">
      <c r="A225" s="488"/>
      <c r="B225" s="489"/>
      <c r="C225" s="489"/>
      <c r="D225" s="489"/>
      <c r="E225" s="489"/>
      <c r="F225" s="489"/>
      <c r="G225" s="489"/>
      <c r="H225" s="489"/>
      <c r="I225" s="489"/>
      <c r="J225" s="490"/>
    </row>
    <row r="226" spans="1:10" ht="15" customHeight="1" x14ac:dyDescent="0.25">
      <c r="A226" s="491"/>
      <c r="B226" s="492"/>
      <c r="C226" s="492"/>
      <c r="D226" s="492"/>
      <c r="E226" s="492"/>
      <c r="F226" s="492"/>
      <c r="G226" s="492"/>
      <c r="H226" s="492"/>
      <c r="I226" s="492"/>
      <c r="J226" s="493"/>
    </row>
    <row r="227" spans="1:10" ht="15" customHeight="1" x14ac:dyDescent="0.25">
      <c r="A227" s="209"/>
      <c r="B227" s="209"/>
      <c r="C227" s="209"/>
      <c r="D227" s="209"/>
      <c r="E227" s="209"/>
      <c r="F227" s="209"/>
      <c r="G227" s="209"/>
      <c r="H227" s="209"/>
      <c r="I227" s="209"/>
      <c r="J227" s="209"/>
    </row>
    <row r="228" spans="1:10" ht="15" customHeight="1" x14ac:dyDescent="0.25">
      <c r="A228" s="209"/>
      <c r="B228" s="209"/>
      <c r="C228" s="209"/>
      <c r="D228" s="209"/>
      <c r="E228" s="209"/>
      <c r="F228" s="209"/>
      <c r="G228" s="209"/>
      <c r="H228" s="209"/>
      <c r="I228" s="209"/>
      <c r="J228" s="209"/>
    </row>
    <row r="229" spans="1:10" ht="15" customHeight="1" x14ac:dyDescent="0.25">
      <c r="A229" s="188"/>
      <c r="B229" s="188"/>
      <c r="C229" s="188"/>
      <c r="D229" s="188"/>
      <c r="E229" s="188"/>
      <c r="F229" s="188"/>
      <c r="G229" s="188"/>
      <c r="H229" s="188"/>
      <c r="I229" s="188"/>
      <c r="J229" s="188"/>
    </row>
    <row r="230" spans="1:10" ht="15.6" x14ac:dyDescent="0.3">
      <c r="A230" s="355" t="s">
        <v>848</v>
      </c>
      <c r="B230" s="356"/>
      <c r="C230" s="356"/>
      <c r="D230" s="356"/>
      <c r="E230" s="356"/>
      <c r="F230" s="356"/>
      <c r="G230" s="356"/>
      <c r="H230" s="353" t="str">
        <f>'CONTACT INFORMATION'!$A$24</f>
        <v>Alameda</v>
      </c>
      <c r="I230" s="353"/>
      <c r="J230" s="354"/>
    </row>
    <row r="231" spans="1:10" ht="8.1" customHeight="1" x14ac:dyDescent="0.25">
      <c r="A231" s="163"/>
      <c r="B231" s="163"/>
      <c r="C231" s="163"/>
      <c r="D231" s="163"/>
      <c r="E231" s="163"/>
      <c r="F231" s="163"/>
      <c r="G231" s="163"/>
      <c r="H231" s="163"/>
      <c r="I231" s="163"/>
      <c r="J231" s="163"/>
    </row>
    <row r="232" spans="1:10" ht="13.8" x14ac:dyDescent="0.25">
      <c r="A232" s="466" t="s">
        <v>810</v>
      </c>
      <c r="B232" s="467"/>
      <c r="C232" s="467"/>
      <c r="D232" s="467"/>
      <c r="E232" s="467"/>
      <c r="F232" s="467"/>
      <c r="G232" s="467"/>
      <c r="H232" s="467"/>
      <c r="I232" s="467"/>
      <c r="J232" s="468"/>
    </row>
    <row r="233" spans="1:10" ht="12.75" customHeight="1" x14ac:dyDescent="0.25">
      <c r="A233" s="463" t="s">
        <v>854</v>
      </c>
      <c r="B233" s="533"/>
      <c r="C233" s="533"/>
      <c r="D233" s="534"/>
      <c r="E233" s="520" t="s">
        <v>940</v>
      </c>
      <c r="F233" s="521"/>
      <c r="G233" s="521"/>
      <c r="H233" s="521"/>
      <c r="I233" s="521"/>
      <c r="J233" s="522"/>
    </row>
    <row r="234" spans="1:10" ht="12.75" customHeight="1" x14ac:dyDescent="0.25">
      <c r="A234" s="503" t="s">
        <v>912</v>
      </c>
      <c r="B234" s="504"/>
      <c r="C234" s="504"/>
      <c r="D234" s="505"/>
      <c r="E234" s="523"/>
      <c r="F234" s="524"/>
      <c r="G234" s="524"/>
      <c r="H234" s="524"/>
      <c r="I234" s="524"/>
      <c r="J234" s="525"/>
    </row>
    <row r="235" spans="1:10" x14ac:dyDescent="0.25">
      <c r="A235" s="535" t="s">
        <v>913</v>
      </c>
      <c r="B235" s="536"/>
      <c r="C235" s="536"/>
      <c r="D235" s="537"/>
      <c r="E235" s="479" t="s">
        <v>326</v>
      </c>
      <c r="F235" s="480"/>
      <c r="G235" s="480"/>
      <c r="H235" s="480"/>
      <c r="I235" s="480"/>
      <c r="J235" s="481"/>
    </row>
    <row r="236" spans="1:10" ht="27" customHeight="1" x14ac:dyDescent="0.25">
      <c r="A236" s="157"/>
      <c r="B236" s="208"/>
      <c r="C236" s="208"/>
      <c r="D236" s="208"/>
      <c r="E236" s="482" t="s">
        <v>535</v>
      </c>
      <c r="F236" s="483"/>
      <c r="G236" s="482" t="s">
        <v>533</v>
      </c>
      <c r="H236" s="483"/>
      <c r="I236" s="484" t="s">
        <v>849</v>
      </c>
      <c r="J236" s="485"/>
    </row>
    <row r="237" spans="1:10" x14ac:dyDescent="0.25">
      <c r="A237" s="448" t="s">
        <v>527</v>
      </c>
      <c r="B237" s="449"/>
      <c r="C237" s="449"/>
      <c r="D237" s="450"/>
      <c r="E237" s="456"/>
      <c r="F237" s="456"/>
      <c r="G237" s="456">
        <v>442805</v>
      </c>
      <c r="H237" s="456"/>
      <c r="I237" s="457"/>
      <c r="J237" s="457"/>
    </row>
    <row r="238" spans="1:10" x14ac:dyDescent="0.25">
      <c r="A238" s="452" t="s">
        <v>528</v>
      </c>
      <c r="B238" s="453"/>
      <c r="C238" s="453"/>
      <c r="D238" s="454"/>
      <c r="E238" s="439"/>
      <c r="F238" s="439"/>
      <c r="G238" s="440">
        <f>46350+3624+26+32445</f>
        <v>82445</v>
      </c>
      <c r="H238" s="440"/>
      <c r="I238" s="455"/>
      <c r="J238" s="455"/>
    </row>
    <row r="239" spans="1:10" x14ac:dyDescent="0.25">
      <c r="A239" s="448" t="s">
        <v>529</v>
      </c>
      <c r="B239" s="449"/>
      <c r="C239" s="449"/>
      <c r="D239" s="450"/>
      <c r="E239" s="456"/>
      <c r="F239" s="456"/>
      <c r="G239" s="456"/>
      <c r="H239" s="456"/>
      <c r="I239" s="457"/>
      <c r="J239" s="457"/>
    </row>
    <row r="240" spans="1:10" x14ac:dyDescent="0.25">
      <c r="A240" s="452" t="s">
        <v>530</v>
      </c>
      <c r="B240" s="453"/>
      <c r="C240" s="453"/>
      <c r="D240" s="454"/>
      <c r="E240" s="439"/>
      <c r="F240" s="439"/>
      <c r="G240" s="440"/>
      <c r="H240" s="440"/>
      <c r="I240" s="455"/>
      <c r="J240" s="455"/>
    </row>
    <row r="241" spans="1:10" x14ac:dyDescent="0.25">
      <c r="A241" s="448" t="s">
        <v>531</v>
      </c>
      <c r="B241" s="449"/>
      <c r="C241" s="449"/>
      <c r="D241" s="450"/>
      <c r="E241" s="456"/>
      <c r="F241" s="456"/>
      <c r="G241" s="456"/>
      <c r="H241" s="456"/>
      <c r="I241" s="457"/>
      <c r="J241" s="457"/>
    </row>
    <row r="242" spans="1:10" x14ac:dyDescent="0.25">
      <c r="A242" s="452" t="s">
        <v>532</v>
      </c>
      <c r="B242" s="453"/>
      <c r="C242" s="453"/>
      <c r="D242" s="454"/>
      <c r="E242" s="439"/>
      <c r="F242" s="439"/>
      <c r="G242" s="440"/>
      <c r="H242" s="440"/>
      <c r="I242" s="455"/>
      <c r="J242" s="455"/>
    </row>
    <row r="243" spans="1:10" x14ac:dyDescent="0.25">
      <c r="A243" s="448" t="s">
        <v>537</v>
      </c>
      <c r="B243" s="449"/>
      <c r="C243" s="449"/>
      <c r="D243" s="450"/>
      <c r="E243" s="451"/>
      <c r="F243" s="451"/>
      <c r="G243" s="451"/>
      <c r="H243" s="451"/>
      <c r="I243" s="445"/>
      <c r="J243" s="445"/>
    </row>
    <row r="244" spans="1:10" x14ac:dyDescent="0.25">
      <c r="A244" s="436"/>
      <c r="B244" s="437"/>
      <c r="C244" s="437"/>
      <c r="D244" s="438"/>
      <c r="E244" s="439"/>
      <c r="F244" s="439"/>
      <c r="G244" s="440"/>
      <c r="H244" s="440"/>
      <c r="I244" s="440"/>
      <c r="J244" s="440"/>
    </row>
    <row r="245" spans="1:10" x14ac:dyDescent="0.25">
      <c r="A245" s="436"/>
      <c r="B245" s="437"/>
      <c r="C245" s="437"/>
      <c r="D245" s="438"/>
      <c r="E245" s="439"/>
      <c r="F245" s="439"/>
      <c r="G245" s="440"/>
      <c r="H245" s="440"/>
      <c r="I245" s="440"/>
      <c r="J245" s="440"/>
    </row>
    <row r="246" spans="1:10" x14ac:dyDescent="0.25">
      <c r="A246" s="436"/>
      <c r="B246" s="437"/>
      <c r="C246" s="437"/>
      <c r="D246" s="438"/>
      <c r="E246" s="439"/>
      <c r="F246" s="439"/>
      <c r="G246" s="440"/>
      <c r="H246" s="440"/>
      <c r="I246" s="440"/>
      <c r="J246" s="440"/>
    </row>
    <row r="247" spans="1:10" x14ac:dyDescent="0.25">
      <c r="A247" s="441" t="s">
        <v>534</v>
      </c>
      <c r="B247" s="442"/>
      <c r="C247" s="442"/>
      <c r="D247" s="443"/>
      <c r="E247" s="444">
        <f>SUM(E237:E246)</f>
        <v>0</v>
      </c>
      <c r="F247" s="444"/>
      <c r="G247" s="444">
        <f>SUM(G237:G246)</f>
        <v>525250</v>
      </c>
      <c r="H247" s="444"/>
      <c r="I247" s="444">
        <f>SUM(I237:I246)</f>
        <v>0</v>
      </c>
      <c r="J247" s="444"/>
    </row>
    <row r="248" spans="1:10" ht="12.75" customHeight="1" x14ac:dyDescent="0.25">
      <c r="A248" s="494" t="s">
        <v>861</v>
      </c>
      <c r="B248" s="495"/>
      <c r="C248" s="495"/>
      <c r="D248" s="495"/>
      <c r="E248" s="495"/>
      <c r="F248" s="495"/>
      <c r="G248" s="495"/>
      <c r="H248" s="495"/>
      <c r="I248" s="495"/>
      <c r="J248" s="496"/>
    </row>
    <row r="249" spans="1:10" ht="12.75" customHeight="1" x14ac:dyDescent="0.25">
      <c r="A249" s="497" t="s">
        <v>862</v>
      </c>
      <c r="B249" s="498"/>
      <c r="C249" s="498"/>
      <c r="D249" s="498"/>
      <c r="E249" s="498"/>
      <c r="F249" s="498"/>
      <c r="G249" s="498"/>
      <c r="H249" s="498"/>
      <c r="I249" s="498"/>
      <c r="J249" s="499"/>
    </row>
    <row r="250" spans="1:10" ht="12.75" customHeight="1" x14ac:dyDescent="0.25">
      <c r="A250" s="497" t="s">
        <v>863</v>
      </c>
      <c r="B250" s="498"/>
      <c r="C250" s="498"/>
      <c r="D250" s="498"/>
      <c r="E250" s="498"/>
      <c r="F250" s="498"/>
      <c r="G250" s="498"/>
      <c r="H250" s="498"/>
      <c r="I250" s="498"/>
      <c r="J250" s="499"/>
    </row>
    <row r="251" spans="1:10" ht="12.75" customHeight="1" x14ac:dyDescent="0.25">
      <c r="A251" s="500" t="s">
        <v>864</v>
      </c>
      <c r="B251" s="501"/>
      <c r="C251" s="501"/>
      <c r="D251" s="501"/>
      <c r="E251" s="501"/>
      <c r="F251" s="501"/>
      <c r="G251" s="501"/>
      <c r="H251" s="501"/>
      <c r="I251" s="501"/>
      <c r="J251" s="502"/>
    </row>
    <row r="252" spans="1:10" x14ac:dyDescent="0.25">
      <c r="A252" s="305" t="s">
        <v>997</v>
      </c>
      <c r="B252" s="486"/>
      <c r="C252" s="486"/>
      <c r="D252" s="486"/>
      <c r="E252" s="486"/>
      <c r="F252" s="486"/>
      <c r="G252" s="486"/>
      <c r="H252" s="486"/>
      <c r="I252" s="486"/>
      <c r="J252" s="487"/>
    </row>
    <row r="253" spans="1:10" x14ac:dyDescent="0.25">
      <c r="A253" s="488"/>
      <c r="B253" s="489"/>
      <c r="C253" s="489"/>
      <c r="D253" s="489"/>
      <c r="E253" s="489"/>
      <c r="F253" s="489"/>
      <c r="G253" s="489"/>
      <c r="H253" s="489"/>
      <c r="I253" s="489"/>
      <c r="J253" s="490"/>
    </row>
    <row r="254" spans="1:10" x14ac:dyDescent="0.25">
      <c r="A254" s="488"/>
      <c r="B254" s="489"/>
      <c r="C254" s="489"/>
      <c r="D254" s="489"/>
      <c r="E254" s="489"/>
      <c r="F254" s="489"/>
      <c r="G254" s="489"/>
      <c r="H254" s="489"/>
      <c r="I254" s="489"/>
      <c r="J254" s="490"/>
    </row>
    <row r="255" spans="1:10" x14ac:dyDescent="0.25">
      <c r="A255" s="488"/>
      <c r="B255" s="489"/>
      <c r="C255" s="489"/>
      <c r="D255" s="489"/>
      <c r="E255" s="489"/>
      <c r="F255" s="489"/>
      <c r="G255" s="489"/>
      <c r="H255" s="489"/>
      <c r="I255" s="489"/>
      <c r="J255" s="490"/>
    </row>
    <row r="256" spans="1:10" x14ac:dyDescent="0.25">
      <c r="A256" s="488"/>
      <c r="B256" s="489"/>
      <c r="C256" s="489"/>
      <c r="D256" s="489"/>
      <c r="E256" s="489"/>
      <c r="F256" s="489"/>
      <c r="G256" s="489"/>
      <c r="H256" s="489"/>
      <c r="I256" s="489"/>
      <c r="J256" s="490"/>
    </row>
    <row r="257" spans="1:10" x14ac:dyDescent="0.25">
      <c r="A257" s="488"/>
      <c r="B257" s="489"/>
      <c r="C257" s="489"/>
      <c r="D257" s="489"/>
      <c r="E257" s="489"/>
      <c r="F257" s="489"/>
      <c r="G257" s="489"/>
      <c r="H257" s="489"/>
      <c r="I257" s="489"/>
      <c r="J257" s="490"/>
    </row>
    <row r="258" spans="1:10" x14ac:dyDescent="0.25">
      <c r="A258" s="488"/>
      <c r="B258" s="489"/>
      <c r="C258" s="489"/>
      <c r="D258" s="489"/>
      <c r="E258" s="489"/>
      <c r="F258" s="489"/>
      <c r="G258" s="489"/>
      <c r="H258" s="489"/>
      <c r="I258" s="489"/>
      <c r="J258" s="490"/>
    </row>
    <row r="259" spans="1:10" x14ac:dyDescent="0.25">
      <c r="A259" s="488"/>
      <c r="B259" s="489"/>
      <c r="C259" s="489"/>
      <c r="D259" s="489"/>
      <c r="E259" s="489"/>
      <c r="F259" s="489"/>
      <c r="G259" s="489"/>
      <c r="H259" s="489"/>
      <c r="I259" s="489"/>
      <c r="J259" s="490"/>
    </row>
    <row r="260" spans="1:10" x14ac:dyDescent="0.25">
      <c r="A260" s="488"/>
      <c r="B260" s="489"/>
      <c r="C260" s="489"/>
      <c r="D260" s="489"/>
      <c r="E260" s="489"/>
      <c r="F260" s="489"/>
      <c r="G260" s="489"/>
      <c r="H260" s="489"/>
      <c r="I260" s="489"/>
      <c r="J260" s="490"/>
    </row>
    <row r="261" spans="1:10" x14ac:dyDescent="0.25">
      <c r="A261" s="488"/>
      <c r="B261" s="489"/>
      <c r="C261" s="489"/>
      <c r="D261" s="489"/>
      <c r="E261" s="489"/>
      <c r="F261" s="489"/>
      <c r="G261" s="489"/>
      <c r="H261" s="489"/>
      <c r="I261" s="489"/>
      <c r="J261" s="490"/>
    </row>
    <row r="262" spans="1:10" x14ac:dyDescent="0.25">
      <c r="A262" s="488"/>
      <c r="B262" s="489"/>
      <c r="C262" s="489"/>
      <c r="D262" s="489"/>
      <c r="E262" s="489"/>
      <c r="F262" s="489"/>
      <c r="G262" s="489"/>
      <c r="H262" s="489"/>
      <c r="I262" s="489"/>
      <c r="J262" s="490"/>
    </row>
    <row r="263" spans="1:10" x14ac:dyDescent="0.25">
      <c r="A263" s="488"/>
      <c r="B263" s="489"/>
      <c r="C263" s="489"/>
      <c r="D263" s="489"/>
      <c r="E263" s="489"/>
      <c r="F263" s="489"/>
      <c r="G263" s="489"/>
      <c r="H263" s="489"/>
      <c r="I263" s="489"/>
      <c r="J263" s="490"/>
    </row>
    <row r="264" spans="1:10" x14ac:dyDescent="0.25">
      <c r="A264" s="488"/>
      <c r="B264" s="489"/>
      <c r="C264" s="489"/>
      <c r="D264" s="489"/>
      <c r="E264" s="489"/>
      <c r="F264" s="489"/>
      <c r="G264" s="489"/>
      <c r="H264" s="489"/>
      <c r="I264" s="489"/>
      <c r="J264" s="490"/>
    </row>
    <row r="265" spans="1:10" x14ac:dyDescent="0.25">
      <c r="A265" s="488"/>
      <c r="B265" s="489"/>
      <c r="C265" s="489"/>
      <c r="D265" s="489"/>
      <c r="E265" s="489"/>
      <c r="F265" s="489"/>
      <c r="G265" s="489"/>
      <c r="H265" s="489"/>
      <c r="I265" s="489"/>
      <c r="J265" s="490"/>
    </row>
    <row r="266" spans="1:10" x14ac:dyDescent="0.25">
      <c r="A266" s="488"/>
      <c r="B266" s="489"/>
      <c r="C266" s="489"/>
      <c r="D266" s="489"/>
      <c r="E266" s="489"/>
      <c r="F266" s="489"/>
      <c r="G266" s="489"/>
      <c r="H266" s="489"/>
      <c r="I266" s="489"/>
      <c r="J266" s="490"/>
    </row>
    <row r="267" spans="1:10" x14ac:dyDescent="0.25">
      <c r="A267" s="488"/>
      <c r="B267" s="489"/>
      <c r="C267" s="489"/>
      <c r="D267" s="489"/>
      <c r="E267" s="489"/>
      <c r="F267" s="489"/>
      <c r="G267" s="489"/>
      <c r="H267" s="489"/>
      <c r="I267" s="489"/>
      <c r="J267" s="490"/>
    </row>
    <row r="268" spans="1:10" x14ac:dyDescent="0.25">
      <c r="A268" s="488"/>
      <c r="B268" s="489"/>
      <c r="C268" s="489"/>
      <c r="D268" s="489"/>
      <c r="E268" s="489"/>
      <c r="F268" s="489"/>
      <c r="G268" s="489"/>
      <c r="H268" s="489"/>
      <c r="I268" s="489"/>
      <c r="J268" s="490"/>
    </row>
    <row r="269" spans="1:10" x14ac:dyDescent="0.25">
      <c r="A269" s="488"/>
      <c r="B269" s="489"/>
      <c r="C269" s="489"/>
      <c r="D269" s="489"/>
      <c r="E269" s="489"/>
      <c r="F269" s="489"/>
      <c r="G269" s="489"/>
      <c r="H269" s="489"/>
      <c r="I269" s="489"/>
      <c r="J269" s="490"/>
    </row>
    <row r="270" spans="1:10" x14ac:dyDescent="0.25">
      <c r="A270" s="488"/>
      <c r="B270" s="489"/>
      <c r="C270" s="489"/>
      <c r="D270" s="489"/>
      <c r="E270" s="489"/>
      <c r="F270" s="489"/>
      <c r="G270" s="489"/>
      <c r="H270" s="489"/>
      <c r="I270" s="489"/>
      <c r="J270" s="490"/>
    </row>
    <row r="271" spans="1:10" x14ac:dyDescent="0.25">
      <c r="A271" s="488"/>
      <c r="B271" s="489"/>
      <c r="C271" s="489"/>
      <c r="D271" s="489"/>
      <c r="E271" s="489"/>
      <c r="F271" s="489"/>
      <c r="G271" s="489"/>
      <c r="H271" s="489"/>
      <c r="I271" s="489"/>
      <c r="J271" s="490"/>
    </row>
    <row r="272" spans="1:10" x14ac:dyDescent="0.25">
      <c r="A272" s="488"/>
      <c r="B272" s="489"/>
      <c r="C272" s="489"/>
      <c r="D272" s="489"/>
      <c r="E272" s="489"/>
      <c r="F272" s="489"/>
      <c r="G272" s="489"/>
      <c r="H272" s="489"/>
      <c r="I272" s="489"/>
      <c r="J272" s="490"/>
    </row>
    <row r="273" spans="1:10" x14ac:dyDescent="0.25">
      <c r="A273" s="488"/>
      <c r="B273" s="489"/>
      <c r="C273" s="489"/>
      <c r="D273" s="489"/>
      <c r="E273" s="489"/>
      <c r="F273" s="489"/>
      <c r="G273" s="489"/>
      <c r="H273" s="489"/>
      <c r="I273" s="489"/>
      <c r="J273" s="490"/>
    </row>
    <row r="274" spans="1:10" x14ac:dyDescent="0.25">
      <c r="A274" s="488"/>
      <c r="B274" s="489"/>
      <c r="C274" s="489"/>
      <c r="D274" s="489"/>
      <c r="E274" s="489"/>
      <c r="F274" s="489"/>
      <c r="G274" s="489"/>
      <c r="H274" s="489"/>
      <c r="I274" s="489"/>
      <c r="J274" s="490"/>
    </row>
    <row r="275" spans="1:10" x14ac:dyDescent="0.25">
      <c r="A275" s="488"/>
      <c r="B275" s="489"/>
      <c r="C275" s="489"/>
      <c r="D275" s="489"/>
      <c r="E275" s="489"/>
      <c r="F275" s="489"/>
      <c r="G275" s="489"/>
      <c r="H275" s="489"/>
      <c r="I275" s="489"/>
      <c r="J275" s="490"/>
    </row>
    <row r="276" spans="1:10" x14ac:dyDescent="0.25">
      <c r="A276" s="488"/>
      <c r="B276" s="489"/>
      <c r="C276" s="489"/>
      <c r="D276" s="489"/>
      <c r="E276" s="489"/>
      <c r="F276" s="489"/>
      <c r="G276" s="489"/>
      <c r="H276" s="489"/>
      <c r="I276" s="489"/>
      <c r="J276" s="490"/>
    </row>
    <row r="277" spans="1:10" x14ac:dyDescent="0.25">
      <c r="A277" s="488"/>
      <c r="B277" s="489"/>
      <c r="C277" s="489"/>
      <c r="D277" s="489"/>
      <c r="E277" s="489"/>
      <c r="F277" s="489"/>
      <c r="G277" s="489"/>
      <c r="H277" s="489"/>
      <c r="I277" s="489"/>
      <c r="J277" s="490"/>
    </row>
    <row r="278" spans="1:10" x14ac:dyDescent="0.25">
      <c r="A278" s="488"/>
      <c r="B278" s="489"/>
      <c r="C278" s="489"/>
      <c r="D278" s="489"/>
      <c r="E278" s="489"/>
      <c r="F278" s="489"/>
      <c r="G278" s="489"/>
      <c r="H278" s="489"/>
      <c r="I278" s="489"/>
      <c r="J278" s="490"/>
    </row>
    <row r="279" spans="1:10" x14ac:dyDescent="0.25">
      <c r="A279" s="488"/>
      <c r="B279" s="489"/>
      <c r="C279" s="489"/>
      <c r="D279" s="489"/>
      <c r="E279" s="489"/>
      <c r="F279" s="489"/>
      <c r="G279" s="489"/>
      <c r="H279" s="489"/>
      <c r="I279" s="489"/>
      <c r="J279" s="490"/>
    </row>
    <row r="280" spans="1:10" x14ac:dyDescent="0.25">
      <c r="A280" s="488"/>
      <c r="B280" s="489"/>
      <c r="C280" s="489"/>
      <c r="D280" s="489"/>
      <c r="E280" s="489"/>
      <c r="F280" s="489"/>
      <c r="G280" s="489"/>
      <c r="H280" s="489"/>
      <c r="I280" s="489"/>
      <c r="J280" s="490"/>
    </row>
    <row r="281" spans="1:10" x14ac:dyDescent="0.25">
      <c r="A281" s="488"/>
      <c r="B281" s="489"/>
      <c r="C281" s="489"/>
      <c r="D281" s="489"/>
      <c r="E281" s="489"/>
      <c r="F281" s="489"/>
      <c r="G281" s="489"/>
      <c r="H281" s="489"/>
      <c r="I281" s="489"/>
      <c r="J281" s="490"/>
    </row>
    <row r="282" spans="1:10" x14ac:dyDescent="0.25">
      <c r="A282" s="488"/>
      <c r="B282" s="489"/>
      <c r="C282" s="489"/>
      <c r="D282" s="489"/>
      <c r="E282" s="489"/>
      <c r="F282" s="489"/>
      <c r="G282" s="489"/>
      <c r="H282" s="489"/>
      <c r="I282" s="489"/>
      <c r="J282" s="490"/>
    </row>
    <row r="283" spans="1:10" x14ac:dyDescent="0.25">
      <c r="A283" s="488"/>
      <c r="B283" s="489"/>
      <c r="C283" s="489"/>
      <c r="D283" s="489"/>
      <c r="E283" s="489"/>
      <c r="F283" s="489"/>
      <c r="G283" s="489"/>
      <c r="H283" s="489"/>
      <c r="I283" s="489"/>
      <c r="J283" s="490"/>
    </row>
    <row r="284" spans="1:10" x14ac:dyDescent="0.25">
      <c r="A284" s="488"/>
      <c r="B284" s="489"/>
      <c r="C284" s="489"/>
      <c r="D284" s="489"/>
      <c r="E284" s="489"/>
      <c r="F284" s="489"/>
      <c r="G284" s="489"/>
      <c r="H284" s="489"/>
      <c r="I284" s="489"/>
      <c r="J284" s="490"/>
    </row>
    <row r="285" spans="1:10" x14ac:dyDescent="0.25">
      <c r="A285" s="491"/>
      <c r="B285" s="492"/>
      <c r="C285" s="492"/>
      <c r="D285" s="492"/>
      <c r="E285" s="492"/>
      <c r="F285" s="492"/>
      <c r="G285" s="492"/>
      <c r="H285" s="492"/>
      <c r="I285" s="492"/>
      <c r="J285" s="493"/>
    </row>
    <row r="288" spans="1:10" ht="15.6" x14ac:dyDescent="0.3">
      <c r="A288" s="355" t="s">
        <v>848</v>
      </c>
      <c r="B288" s="356"/>
      <c r="C288" s="356"/>
      <c r="D288" s="356"/>
      <c r="E288" s="356"/>
      <c r="F288" s="356"/>
      <c r="G288" s="356"/>
      <c r="H288" s="353" t="str">
        <f>'CONTACT INFORMATION'!$A$24</f>
        <v>Alameda</v>
      </c>
      <c r="I288" s="353"/>
      <c r="J288" s="354"/>
    </row>
    <row r="289" spans="1:10" ht="8.1" customHeight="1" x14ac:dyDescent="0.25">
      <c r="A289" s="163"/>
      <c r="B289" s="163"/>
      <c r="C289" s="163"/>
      <c r="D289" s="163"/>
      <c r="E289" s="163"/>
      <c r="F289" s="163"/>
      <c r="G289" s="163"/>
      <c r="H289" s="163"/>
      <c r="I289" s="163"/>
      <c r="J289" s="163"/>
    </row>
    <row r="290" spans="1:10" ht="13.8" x14ac:dyDescent="0.25">
      <c r="A290" s="466" t="s">
        <v>811</v>
      </c>
      <c r="B290" s="467"/>
      <c r="C290" s="467"/>
      <c r="D290" s="467"/>
      <c r="E290" s="467"/>
      <c r="F290" s="467"/>
      <c r="G290" s="467"/>
      <c r="H290" s="467"/>
      <c r="I290" s="467"/>
      <c r="J290" s="468"/>
    </row>
    <row r="291" spans="1:10" ht="13.2" customHeight="1" x14ac:dyDescent="0.25">
      <c r="A291" s="463" t="s">
        <v>854</v>
      </c>
      <c r="B291" s="464"/>
      <c r="C291" s="464"/>
      <c r="D291" s="465"/>
      <c r="E291" s="520" t="s">
        <v>941</v>
      </c>
      <c r="F291" s="521"/>
      <c r="G291" s="521"/>
      <c r="H291" s="521"/>
      <c r="I291" s="521"/>
      <c r="J291" s="522"/>
    </row>
    <row r="292" spans="1:10" x14ac:dyDescent="0.25">
      <c r="A292" s="503" t="s">
        <v>853</v>
      </c>
      <c r="B292" s="504"/>
      <c r="C292" s="504"/>
      <c r="D292" s="505"/>
      <c r="E292" s="523"/>
      <c r="F292" s="524"/>
      <c r="G292" s="524"/>
      <c r="H292" s="524"/>
      <c r="I292" s="524"/>
      <c r="J292" s="525"/>
    </row>
    <row r="293" spans="1:10" x14ac:dyDescent="0.25">
      <c r="A293" s="541" t="s">
        <v>808</v>
      </c>
      <c r="B293" s="542"/>
      <c r="C293" s="542"/>
      <c r="D293" s="543"/>
      <c r="E293" s="479" t="s">
        <v>470</v>
      </c>
      <c r="F293" s="480"/>
      <c r="G293" s="480"/>
      <c r="H293" s="480"/>
      <c r="I293" s="480"/>
      <c r="J293" s="481"/>
    </row>
    <row r="294" spans="1:10" ht="27" customHeight="1" x14ac:dyDescent="0.25">
      <c r="A294" s="157"/>
      <c r="B294" s="208"/>
      <c r="C294" s="208"/>
      <c r="D294" s="208"/>
      <c r="E294" s="482" t="s">
        <v>535</v>
      </c>
      <c r="F294" s="483"/>
      <c r="G294" s="482" t="s">
        <v>533</v>
      </c>
      <c r="H294" s="483"/>
      <c r="I294" s="484" t="s">
        <v>849</v>
      </c>
      <c r="J294" s="485"/>
    </row>
    <row r="295" spans="1:10" x14ac:dyDescent="0.25">
      <c r="A295" s="448" t="s">
        <v>527</v>
      </c>
      <c r="B295" s="449"/>
      <c r="C295" s="449"/>
      <c r="D295" s="450"/>
      <c r="E295" s="456"/>
      <c r="F295" s="456"/>
      <c r="G295" s="456">
        <v>575128</v>
      </c>
      <c r="H295" s="456"/>
      <c r="I295" s="457"/>
      <c r="J295" s="457"/>
    </row>
    <row r="296" spans="1:10" x14ac:dyDescent="0.25">
      <c r="A296" s="452" t="s">
        <v>528</v>
      </c>
      <c r="B296" s="453"/>
      <c r="C296" s="453"/>
      <c r="D296" s="454"/>
      <c r="E296" s="439"/>
      <c r="F296" s="439"/>
      <c r="G296" s="440">
        <v>68748</v>
      </c>
      <c r="H296" s="440"/>
      <c r="I296" s="455"/>
      <c r="J296" s="455"/>
    </row>
    <row r="297" spans="1:10" x14ac:dyDescent="0.25">
      <c r="A297" s="448" t="s">
        <v>529</v>
      </c>
      <c r="B297" s="449"/>
      <c r="C297" s="449"/>
      <c r="D297" s="450"/>
      <c r="E297" s="456"/>
      <c r="F297" s="456"/>
      <c r="G297" s="456"/>
      <c r="H297" s="456"/>
      <c r="I297" s="457"/>
      <c r="J297" s="457"/>
    </row>
    <row r="298" spans="1:10" x14ac:dyDescent="0.25">
      <c r="A298" s="452" t="s">
        <v>530</v>
      </c>
      <c r="B298" s="453"/>
      <c r="C298" s="453"/>
      <c r="D298" s="454"/>
      <c r="E298" s="439"/>
      <c r="F298" s="439"/>
      <c r="G298" s="440"/>
      <c r="H298" s="440"/>
      <c r="I298" s="455"/>
      <c r="J298" s="455"/>
    </row>
    <row r="299" spans="1:10" x14ac:dyDescent="0.25">
      <c r="A299" s="448" t="s">
        <v>531</v>
      </c>
      <c r="B299" s="449"/>
      <c r="C299" s="449"/>
      <c r="D299" s="450"/>
      <c r="E299" s="456"/>
      <c r="F299" s="456"/>
      <c r="G299" s="456"/>
      <c r="H299" s="456"/>
      <c r="I299" s="457"/>
      <c r="J299" s="457"/>
    </row>
    <row r="300" spans="1:10" x14ac:dyDescent="0.25">
      <c r="A300" s="452" t="s">
        <v>532</v>
      </c>
      <c r="B300" s="453"/>
      <c r="C300" s="453"/>
      <c r="D300" s="454"/>
      <c r="E300" s="439"/>
      <c r="F300" s="439"/>
      <c r="G300" s="440"/>
      <c r="H300" s="440"/>
      <c r="I300" s="455"/>
      <c r="J300" s="455"/>
    </row>
    <row r="301" spans="1:10" x14ac:dyDescent="0.25">
      <c r="A301" s="448" t="s">
        <v>537</v>
      </c>
      <c r="B301" s="449"/>
      <c r="C301" s="449"/>
      <c r="D301" s="450"/>
      <c r="E301" s="451"/>
      <c r="F301" s="451"/>
      <c r="G301" s="451"/>
      <c r="H301" s="451"/>
      <c r="I301" s="445"/>
      <c r="J301" s="445"/>
    </row>
    <row r="302" spans="1:10" x14ac:dyDescent="0.25">
      <c r="A302" s="436"/>
      <c r="B302" s="437"/>
      <c r="C302" s="437"/>
      <c r="D302" s="438"/>
      <c r="E302" s="439"/>
      <c r="F302" s="439"/>
      <c r="G302" s="440"/>
      <c r="H302" s="440"/>
      <c r="I302" s="440"/>
      <c r="J302" s="440"/>
    </row>
    <row r="303" spans="1:10" x14ac:dyDescent="0.25">
      <c r="A303" s="436"/>
      <c r="B303" s="437"/>
      <c r="C303" s="437"/>
      <c r="D303" s="438"/>
      <c r="E303" s="439"/>
      <c r="F303" s="439"/>
      <c r="G303" s="440"/>
      <c r="H303" s="440"/>
      <c r="I303" s="440"/>
      <c r="J303" s="440"/>
    </row>
    <row r="304" spans="1:10" x14ac:dyDescent="0.25">
      <c r="A304" s="436"/>
      <c r="B304" s="437"/>
      <c r="C304" s="437"/>
      <c r="D304" s="438"/>
      <c r="E304" s="439"/>
      <c r="F304" s="439"/>
      <c r="G304" s="440"/>
      <c r="H304" s="440"/>
      <c r="I304" s="440"/>
      <c r="J304" s="440"/>
    </row>
    <row r="305" spans="1:10" x14ac:dyDescent="0.25">
      <c r="A305" s="441" t="s">
        <v>534</v>
      </c>
      <c r="B305" s="442"/>
      <c r="C305" s="442"/>
      <c r="D305" s="443"/>
      <c r="E305" s="444">
        <f>SUM(E295:E304)</f>
        <v>0</v>
      </c>
      <c r="F305" s="444"/>
      <c r="G305" s="444">
        <f>SUM(G295:G304)</f>
        <v>643876</v>
      </c>
      <c r="H305" s="444"/>
      <c r="I305" s="444">
        <f>SUM(I295:I304)</f>
        <v>0</v>
      </c>
      <c r="J305" s="444"/>
    </row>
    <row r="306" spans="1:10" x14ac:dyDescent="0.25">
      <c r="A306" s="494" t="s">
        <v>861</v>
      </c>
      <c r="B306" s="495"/>
      <c r="C306" s="495"/>
      <c r="D306" s="495"/>
      <c r="E306" s="495"/>
      <c r="F306" s="495"/>
      <c r="G306" s="495"/>
      <c r="H306" s="495"/>
      <c r="I306" s="495"/>
      <c r="J306" s="496"/>
    </row>
    <row r="307" spans="1:10" x14ac:dyDescent="0.25">
      <c r="A307" s="497" t="s">
        <v>862</v>
      </c>
      <c r="B307" s="498"/>
      <c r="C307" s="498"/>
      <c r="D307" s="498"/>
      <c r="E307" s="498"/>
      <c r="F307" s="498"/>
      <c r="G307" s="498"/>
      <c r="H307" s="498"/>
      <c r="I307" s="498"/>
      <c r="J307" s="499"/>
    </row>
    <row r="308" spans="1:10" x14ac:dyDescent="0.25">
      <c r="A308" s="497" t="s">
        <v>863</v>
      </c>
      <c r="B308" s="498"/>
      <c r="C308" s="498"/>
      <c r="D308" s="498"/>
      <c r="E308" s="498"/>
      <c r="F308" s="498"/>
      <c r="G308" s="498"/>
      <c r="H308" s="498"/>
      <c r="I308" s="498"/>
      <c r="J308" s="499"/>
    </row>
    <row r="309" spans="1:10" x14ac:dyDescent="0.25">
      <c r="A309" s="500" t="s">
        <v>864</v>
      </c>
      <c r="B309" s="501"/>
      <c r="C309" s="501"/>
      <c r="D309" s="501"/>
      <c r="E309" s="501"/>
      <c r="F309" s="501"/>
      <c r="G309" s="501"/>
      <c r="H309" s="501"/>
      <c r="I309" s="501"/>
      <c r="J309" s="502"/>
    </row>
    <row r="310" spans="1:10" ht="13.2" customHeight="1" x14ac:dyDescent="0.25">
      <c r="A310" s="305" t="s">
        <v>972</v>
      </c>
      <c r="B310" s="486"/>
      <c r="C310" s="486"/>
      <c r="D310" s="486"/>
      <c r="E310" s="486"/>
      <c r="F310" s="486"/>
      <c r="G310" s="486"/>
      <c r="H310" s="486"/>
      <c r="I310" s="486"/>
      <c r="J310" s="487"/>
    </row>
    <row r="311" spans="1:10" x14ac:dyDescent="0.25">
      <c r="A311" s="488"/>
      <c r="B311" s="489"/>
      <c r="C311" s="489"/>
      <c r="D311" s="489"/>
      <c r="E311" s="489"/>
      <c r="F311" s="489"/>
      <c r="G311" s="489"/>
      <c r="H311" s="489"/>
      <c r="I311" s="489"/>
      <c r="J311" s="490"/>
    </row>
    <row r="312" spans="1:10" x14ac:dyDescent="0.25">
      <c r="A312" s="488"/>
      <c r="B312" s="489"/>
      <c r="C312" s="489"/>
      <c r="D312" s="489"/>
      <c r="E312" s="489"/>
      <c r="F312" s="489"/>
      <c r="G312" s="489"/>
      <c r="H312" s="489"/>
      <c r="I312" s="489"/>
      <c r="J312" s="490"/>
    </row>
    <row r="313" spans="1:10" x14ac:dyDescent="0.25">
      <c r="A313" s="488"/>
      <c r="B313" s="489"/>
      <c r="C313" s="489"/>
      <c r="D313" s="489"/>
      <c r="E313" s="489"/>
      <c r="F313" s="489"/>
      <c r="G313" s="489"/>
      <c r="H313" s="489"/>
      <c r="I313" s="489"/>
      <c r="J313" s="490"/>
    </row>
    <row r="314" spans="1:10" x14ac:dyDescent="0.25">
      <c r="A314" s="488"/>
      <c r="B314" s="489"/>
      <c r="C314" s="489"/>
      <c r="D314" s="489"/>
      <c r="E314" s="489"/>
      <c r="F314" s="489"/>
      <c r="G314" s="489"/>
      <c r="H314" s="489"/>
      <c r="I314" s="489"/>
      <c r="J314" s="490"/>
    </row>
    <row r="315" spans="1:10" x14ac:dyDescent="0.25">
      <c r="A315" s="488"/>
      <c r="B315" s="489"/>
      <c r="C315" s="489"/>
      <c r="D315" s="489"/>
      <c r="E315" s="489"/>
      <c r="F315" s="489"/>
      <c r="G315" s="489"/>
      <c r="H315" s="489"/>
      <c r="I315" s="489"/>
      <c r="J315" s="490"/>
    </row>
    <row r="316" spans="1:10" x14ac:dyDescent="0.25">
      <c r="A316" s="488"/>
      <c r="B316" s="489"/>
      <c r="C316" s="489"/>
      <c r="D316" s="489"/>
      <c r="E316" s="489"/>
      <c r="F316" s="489"/>
      <c r="G316" s="489"/>
      <c r="H316" s="489"/>
      <c r="I316" s="489"/>
      <c r="J316" s="490"/>
    </row>
    <row r="317" spans="1:10" x14ac:dyDescent="0.25">
      <c r="A317" s="488"/>
      <c r="B317" s="489"/>
      <c r="C317" s="489"/>
      <c r="D317" s="489"/>
      <c r="E317" s="489"/>
      <c r="F317" s="489"/>
      <c r="G317" s="489"/>
      <c r="H317" s="489"/>
      <c r="I317" s="489"/>
      <c r="J317" s="490"/>
    </row>
    <row r="318" spans="1:10" x14ac:dyDescent="0.25">
      <c r="A318" s="488"/>
      <c r="B318" s="489"/>
      <c r="C318" s="489"/>
      <c r="D318" s="489"/>
      <c r="E318" s="489"/>
      <c r="F318" s="489"/>
      <c r="G318" s="489"/>
      <c r="H318" s="489"/>
      <c r="I318" s="489"/>
      <c r="J318" s="490"/>
    </row>
    <row r="319" spans="1:10" x14ac:dyDescent="0.25">
      <c r="A319" s="488"/>
      <c r="B319" s="489"/>
      <c r="C319" s="489"/>
      <c r="D319" s="489"/>
      <c r="E319" s="489"/>
      <c r="F319" s="489"/>
      <c r="G319" s="489"/>
      <c r="H319" s="489"/>
      <c r="I319" s="489"/>
      <c r="J319" s="490"/>
    </row>
    <row r="320" spans="1:10" x14ac:dyDescent="0.25">
      <c r="A320" s="488"/>
      <c r="B320" s="489"/>
      <c r="C320" s="489"/>
      <c r="D320" s="489"/>
      <c r="E320" s="489"/>
      <c r="F320" s="489"/>
      <c r="G320" s="489"/>
      <c r="H320" s="489"/>
      <c r="I320" s="489"/>
      <c r="J320" s="490"/>
    </row>
    <row r="321" spans="1:10" x14ac:dyDescent="0.25">
      <c r="A321" s="488"/>
      <c r="B321" s="489"/>
      <c r="C321" s="489"/>
      <c r="D321" s="489"/>
      <c r="E321" s="489"/>
      <c r="F321" s="489"/>
      <c r="G321" s="489"/>
      <c r="H321" s="489"/>
      <c r="I321" s="489"/>
      <c r="J321" s="490"/>
    </row>
    <row r="322" spans="1:10" x14ac:dyDescent="0.25">
      <c r="A322" s="488"/>
      <c r="B322" s="489"/>
      <c r="C322" s="489"/>
      <c r="D322" s="489"/>
      <c r="E322" s="489"/>
      <c r="F322" s="489"/>
      <c r="G322" s="489"/>
      <c r="H322" s="489"/>
      <c r="I322" s="489"/>
      <c r="J322" s="490"/>
    </row>
    <row r="323" spans="1:10" x14ac:dyDescent="0.25">
      <c r="A323" s="488"/>
      <c r="B323" s="489"/>
      <c r="C323" s="489"/>
      <c r="D323" s="489"/>
      <c r="E323" s="489"/>
      <c r="F323" s="489"/>
      <c r="G323" s="489"/>
      <c r="H323" s="489"/>
      <c r="I323" s="489"/>
      <c r="J323" s="490"/>
    </row>
    <row r="324" spans="1:10" x14ac:dyDescent="0.25">
      <c r="A324" s="488"/>
      <c r="B324" s="489"/>
      <c r="C324" s="489"/>
      <c r="D324" s="489"/>
      <c r="E324" s="489"/>
      <c r="F324" s="489"/>
      <c r="G324" s="489"/>
      <c r="H324" s="489"/>
      <c r="I324" s="489"/>
      <c r="J324" s="490"/>
    </row>
    <row r="325" spans="1:10" x14ac:dyDescent="0.25">
      <c r="A325" s="488"/>
      <c r="B325" s="489"/>
      <c r="C325" s="489"/>
      <c r="D325" s="489"/>
      <c r="E325" s="489"/>
      <c r="F325" s="489"/>
      <c r="G325" s="489"/>
      <c r="H325" s="489"/>
      <c r="I325" s="489"/>
      <c r="J325" s="490"/>
    </row>
    <row r="326" spans="1:10" x14ac:dyDescent="0.25">
      <c r="A326" s="488"/>
      <c r="B326" s="489"/>
      <c r="C326" s="489"/>
      <c r="D326" s="489"/>
      <c r="E326" s="489"/>
      <c r="F326" s="489"/>
      <c r="G326" s="489"/>
      <c r="H326" s="489"/>
      <c r="I326" s="489"/>
      <c r="J326" s="490"/>
    </row>
    <row r="327" spans="1:10" x14ac:dyDescent="0.25">
      <c r="A327" s="488"/>
      <c r="B327" s="489"/>
      <c r="C327" s="489"/>
      <c r="D327" s="489"/>
      <c r="E327" s="489"/>
      <c r="F327" s="489"/>
      <c r="G327" s="489"/>
      <c r="H327" s="489"/>
      <c r="I327" s="489"/>
      <c r="J327" s="490"/>
    </row>
    <row r="328" spans="1:10" x14ac:dyDescent="0.25">
      <c r="A328" s="488"/>
      <c r="B328" s="489"/>
      <c r="C328" s="489"/>
      <c r="D328" s="489"/>
      <c r="E328" s="489"/>
      <c r="F328" s="489"/>
      <c r="G328" s="489"/>
      <c r="H328" s="489"/>
      <c r="I328" s="489"/>
      <c r="J328" s="490"/>
    </row>
    <row r="329" spans="1:10" x14ac:dyDescent="0.25">
      <c r="A329" s="488"/>
      <c r="B329" s="489"/>
      <c r="C329" s="489"/>
      <c r="D329" s="489"/>
      <c r="E329" s="489"/>
      <c r="F329" s="489"/>
      <c r="G329" s="489"/>
      <c r="H329" s="489"/>
      <c r="I329" s="489"/>
      <c r="J329" s="490"/>
    </row>
    <row r="330" spans="1:10" x14ac:dyDescent="0.25">
      <c r="A330" s="488"/>
      <c r="B330" s="489"/>
      <c r="C330" s="489"/>
      <c r="D330" s="489"/>
      <c r="E330" s="489"/>
      <c r="F330" s="489"/>
      <c r="G330" s="489"/>
      <c r="H330" s="489"/>
      <c r="I330" s="489"/>
      <c r="J330" s="490"/>
    </row>
    <row r="331" spans="1:10" x14ac:dyDescent="0.25">
      <c r="A331" s="488"/>
      <c r="B331" s="489"/>
      <c r="C331" s="489"/>
      <c r="D331" s="489"/>
      <c r="E331" s="489"/>
      <c r="F331" s="489"/>
      <c r="G331" s="489"/>
      <c r="H331" s="489"/>
      <c r="I331" s="489"/>
      <c r="J331" s="490"/>
    </row>
    <row r="332" spans="1:10" x14ac:dyDescent="0.25">
      <c r="A332" s="488"/>
      <c r="B332" s="489"/>
      <c r="C332" s="489"/>
      <c r="D332" s="489"/>
      <c r="E332" s="489"/>
      <c r="F332" s="489"/>
      <c r="G332" s="489"/>
      <c r="H332" s="489"/>
      <c r="I332" s="489"/>
      <c r="J332" s="490"/>
    </row>
    <row r="333" spans="1:10" x14ac:dyDescent="0.25">
      <c r="A333" s="488"/>
      <c r="B333" s="489"/>
      <c r="C333" s="489"/>
      <c r="D333" s="489"/>
      <c r="E333" s="489"/>
      <c r="F333" s="489"/>
      <c r="G333" s="489"/>
      <c r="H333" s="489"/>
      <c r="I333" s="489"/>
      <c r="J333" s="490"/>
    </row>
    <row r="334" spans="1:10" x14ac:dyDescent="0.25">
      <c r="A334" s="488"/>
      <c r="B334" s="489"/>
      <c r="C334" s="489"/>
      <c r="D334" s="489"/>
      <c r="E334" s="489"/>
      <c r="F334" s="489"/>
      <c r="G334" s="489"/>
      <c r="H334" s="489"/>
      <c r="I334" s="489"/>
      <c r="J334" s="490"/>
    </row>
    <row r="335" spans="1:10" x14ac:dyDescent="0.25">
      <c r="A335" s="488"/>
      <c r="B335" s="489"/>
      <c r="C335" s="489"/>
      <c r="D335" s="489"/>
      <c r="E335" s="489"/>
      <c r="F335" s="489"/>
      <c r="G335" s="489"/>
      <c r="H335" s="489"/>
      <c r="I335" s="489"/>
      <c r="J335" s="490"/>
    </row>
    <row r="336" spans="1:10" x14ac:dyDescent="0.25">
      <c r="A336" s="488"/>
      <c r="B336" s="489"/>
      <c r="C336" s="489"/>
      <c r="D336" s="489"/>
      <c r="E336" s="489"/>
      <c r="F336" s="489"/>
      <c r="G336" s="489"/>
      <c r="H336" s="489"/>
      <c r="I336" s="489"/>
      <c r="J336" s="490"/>
    </row>
    <row r="337" spans="1:10" x14ac:dyDescent="0.25">
      <c r="A337" s="488"/>
      <c r="B337" s="489"/>
      <c r="C337" s="489"/>
      <c r="D337" s="489"/>
      <c r="E337" s="489"/>
      <c r="F337" s="489"/>
      <c r="G337" s="489"/>
      <c r="H337" s="489"/>
      <c r="I337" s="489"/>
      <c r="J337" s="490"/>
    </row>
    <row r="338" spans="1:10" x14ac:dyDescent="0.25">
      <c r="A338" s="488"/>
      <c r="B338" s="489"/>
      <c r="C338" s="489"/>
      <c r="D338" s="489"/>
      <c r="E338" s="489"/>
      <c r="F338" s="489"/>
      <c r="G338" s="489"/>
      <c r="H338" s="489"/>
      <c r="I338" s="489"/>
      <c r="J338" s="490"/>
    </row>
    <row r="339" spans="1:10" x14ac:dyDescent="0.25">
      <c r="A339" s="488"/>
      <c r="B339" s="489"/>
      <c r="C339" s="489"/>
      <c r="D339" s="489"/>
      <c r="E339" s="489"/>
      <c r="F339" s="489"/>
      <c r="G339" s="489"/>
      <c r="H339" s="489"/>
      <c r="I339" s="489"/>
      <c r="J339" s="490"/>
    </row>
    <row r="340" spans="1:10" x14ac:dyDescent="0.25">
      <c r="A340" s="488"/>
      <c r="B340" s="489"/>
      <c r="C340" s="489"/>
      <c r="D340" s="489"/>
      <c r="E340" s="489"/>
      <c r="F340" s="489"/>
      <c r="G340" s="489"/>
      <c r="H340" s="489"/>
      <c r="I340" s="489"/>
      <c r="J340" s="490"/>
    </row>
    <row r="341" spans="1:10" x14ac:dyDescent="0.25">
      <c r="A341" s="488"/>
      <c r="B341" s="489"/>
      <c r="C341" s="489"/>
      <c r="D341" s="489"/>
      <c r="E341" s="489"/>
      <c r="F341" s="489"/>
      <c r="G341" s="489"/>
      <c r="H341" s="489"/>
      <c r="I341" s="489"/>
      <c r="J341" s="490"/>
    </row>
    <row r="342" spans="1:10" x14ac:dyDescent="0.25">
      <c r="A342" s="488"/>
      <c r="B342" s="489"/>
      <c r="C342" s="489"/>
      <c r="D342" s="489"/>
      <c r="E342" s="489"/>
      <c r="F342" s="489"/>
      <c r="G342" s="489"/>
      <c r="H342" s="489"/>
      <c r="I342" s="489"/>
      <c r="J342" s="490"/>
    </row>
    <row r="343" spans="1:10" x14ac:dyDescent="0.25">
      <c r="A343" s="488"/>
      <c r="B343" s="489"/>
      <c r="C343" s="489"/>
      <c r="D343" s="489"/>
      <c r="E343" s="489"/>
      <c r="F343" s="489"/>
      <c r="G343" s="489"/>
      <c r="H343" s="489"/>
      <c r="I343" s="489"/>
      <c r="J343" s="490"/>
    </row>
    <row r="344" spans="1:10" x14ac:dyDescent="0.25">
      <c r="A344" s="491"/>
      <c r="B344" s="492"/>
      <c r="C344" s="492"/>
      <c r="D344" s="492"/>
      <c r="E344" s="492"/>
      <c r="F344" s="492"/>
      <c r="G344" s="492"/>
      <c r="H344" s="492"/>
      <c r="I344" s="492"/>
      <c r="J344" s="493"/>
    </row>
    <row r="346" spans="1:10" ht="15.6" x14ac:dyDescent="0.3">
      <c r="A346" s="355" t="s">
        <v>848</v>
      </c>
      <c r="B346" s="356"/>
      <c r="C346" s="356"/>
      <c r="D346" s="356"/>
      <c r="E346" s="356"/>
      <c r="F346" s="356"/>
      <c r="G346" s="356"/>
      <c r="H346" s="353" t="str">
        <f>'CONTACT INFORMATION'!$A$24</f>
        <v>Alameda</v>
      </c>
      <c r="I346" s="353"/>
      <c r="J346" s="354"/>
    </row>
    <row r="347" spans="1:10" ht="8.1" customHeight="1" x14ac:dyDescent="0.25">
      <c r="A347" s="163"/>
      <c r="B347" s="163"/>
      <c r="C347" s="163"/>
      <c r="D347" s="163"/>
      <c r="E347" s="163"/>
      <c r="F347" s="163"/>
      <c r="G347" s="163"/>
      <c r="H347" s="163"/>
      <c r="I347" s="163"/>
      <c r="J347" s="163"/>
    </row>
    <row r="348" spans="1:10" ht="13.8" x14ac:dyDescent="0.25">
      <c r="A348" s="466" t="s">
        <v>855</v>
      </c>
      <c r="B348" s="467"/>
      <c r="C348" s="467"/>
      <c r="D348" s="467"/>
      <c r="E348" s="467"/>
      <c r="F348" s="467"/>
      <c r="G348" s="467"/>
      <c r="H348" s="467"/>
      <c r="I348" s="467"/>
      <c r="J348" s="468"/>
    </row>
    <row r="349" spans="1:10" x14ac:dyDescent="0.25">
      <c r="A349" s="463" t="s">
        <v>854</v>
      </c>
      <c r="B349" s="464"/>
      <c r="C349" s="464"/>
      <c r="D349" s="465"/>
      <c r="E349" s="544" t="s">
        <v>942</v>
      </c>
      <c r="F349" s="545"/>
      <c r="G349" s="545"/>
      <c r="H349" s="545"/>
      <c r="I349" s="545"/>
      <c r="J349" s="546"/>
    </row>
    <row r="350" spans="1:10" x14ac:dyDescent="0.25">
      <c r="A350" s="503" t="s">
        <v>853</v>
      </c>
      <c r="B350" s="504"/>
      <c r="C350" s="504"/>
      <c r="D350" s="505"/>
      <c r="E350" s="547"/>
      <c r="F350" s="548"/>
      <c r="G350" s="548"/>
      <c r="H350" s="548"/>
      <c r="I350" s="548"/>
      <c r="J350" s="549"/>
    </row>
    <row r="351" spans="1:10" x14ac:dyDescent="0.25">
      <c r="A351" s="541" t="s">
        <v>808</v>
      </c>
      <c r="B351" s="542"/>
      <c r="C351" s="542"/>
      <c r="D351" s="543"/>
      <c r="E351" s="479" t="s">
        <v>498</v>
      </c>
      <c r="F351" s="480"/>
      <c r="G351" s="480"/>
      <c r="H351" s="480"/>
      <c r="I351" s="480"/>
      <c r="J351" s="481"/>
    </row>
    <row r="352" spans="1:10" ht="27" customHeight="1" x14ac:dyDescent="0.25">
      <c r="A352" s="157"/>
      <c r="B352" s="208"/>
      <c r="C352" s="208"/>
      <c r="D352" s="208"/>
      <c r="E352" s="482" t="s">
        <v>535</v>
      </c>
      <c r="F352" s="483"/>
      <c r="G352" s="482" t="s">
        <v>533</v>
      </c>
      <c r="H352" s="483"/>
      <c r="I352" s="484" t="s">
        <v>849</v>
      </c>
      <c r="J352" s="485"/>
    </row>
    <row r="353" spans="1:10" x14ac:dyDescent="0.25">
      <c r="A353" s="448" t="s">
        <v>527</v>
      </c>
      <c r="B353" s="449"/>
      <c r="C353" s="449"/>
      <c r="D353" s="450"/>
      <c r="E353" s="456"/>
      <c r="F353" s="456"/>
      <c r="G353" s="456"/>
      <c r="H353" s="456"/>
      <c r="I353" s="457"/>
      <c r="J353" s="457"/>
    </row>
    <row r="354" spans="1:10" x14ac:dyDescent="0.25">
      <c r="A354" s="452" t="s">
        <v>528</v>
      </c>
      <c r="B354" s="453"/>
      <c r="C354" s="453"/>
      <c r="D354" s="454"/>
      <c r="E354" s="439"/>
      <c r="F354" s="439"/>
      <c r="G354" s="440"/>
      <c r="H354" s="440"/>
      <c r="I354" s="455"/>
      <c r="J354" s="455"/>
    </row>
    <row r="355" spans="1:10" x14ac:dyDescent="0.25">
      <c r="A355" s="448" t="s">
        <v>529</v>
      </c>
      <c r="B355" s="449"/>
      <c r="C355" s="449"/>
      <c r="D355" s="450"/>
      <c r="E355" s="456"/>
      <c r="F355" s="456"/>
      <c r="G355" s="456"/>
      <c r="H355" s="456"/>
      <c r="I355" s="457"/>
      <c r="J355" s="457"/>
    </row>
    <row r="356" spans="1:10" x14ac:dyDescent="0.25">
      <c r="A356" s="452" t="s">
        <v>530</v>
      </c>
      <c r="B356" s="453"/>
      <c r="C356" s="453"/>
      <c r="D356" s="454"/>
      <c r="E356" s="439"/>
      <c r="F356" s="439"/>
      <c r="G356" s="440"/>
      <c r="H356" s="440"/>
      <c r="I356" s="455"/>
      <c r="J356" s="455"/>
    </row>
    <row r="357" spans="1:10" x14ac:dyDescent="0.25">
      <c r="A357" s="448" t="s">
        <v>531</v>
      </c>
      <c r="B357" s="449"/>
      <c r="C357" s="449"/>
      <c r="D357" s="450"/>
      <c r="E357" s="456"/>
      <c r="F357" s="456"/>
      <c r="G357" s="456"/>
      <c r="H357" s="456"/>
      <c r="I357" s="457"/>
      <c r="J357" s="457"/>
    </row>
    <row r="358" spans="1:10" x14ac:dyDescent="0.25">
      <c r="A358" s="452" t="s">
        <v>532</v>
      </c>
      <c r="B358" s="453"/>
      <c r="C358" s="453"/>
      <c r="D358" s="454"/>
      <c r="E358" s="439"/>
      <c r="F358" s="439"/>
      <c r="G358" s="440"/>
      <c r="H358" s="440"/>
      <c r="I358" s="455"/>
      <c r="J358" s="455"/>
    </row>
    <row r="359" spans="1:10" x14ac:dyDescent="0.25">
      <c r="A359" s="448" t="s">
        <v>537</v>
      </c>
      <c r="B359" s="449"/>
      <c r="C359" s="449"/>
      <c r="D359" s="450"/>
      <c r="E359" s="451"/>
      <c r="F359" s="451"/>
      <c r="G359" s="451"/>
      <c r="H359" s="451"/>
      <c r="I359" s="445"/>
      <c r="J359" s="445"/>
    </row>
    <row r="360" spans="1:10" x14ac:dyDescent="0.25">
      <c r="A360" s="436"/>
      <c r="B360" s="437"/>
      <c r="C360" s="437"/>
      <c r="D360" s="438"/>
      <c r="E360" s="439"/>
      <c r="F360" s="439"/>
      <c r="G360" s="440"/>
      <c r="H360" s="440"/>
      <c r="I360" s="440"/>
      <c r="J360" s="440"/>
    </row>
    <row r="361" spans="1:10" x14ac:dyDescent="0.25">
      <c r="A361" s="436"/>
      <c r="B361" s="437"/>
      <c r="C361" s="437"/>
      <c r="D361" s="438"/>
      <c r="E361" s="439"/>
      <c r="F361" s="439"/>
      <c r="G361" s="440"/>
      <c r="H361" s="440"/>
      <c r="I361" s="440"/>
      <c r="J361" s="440"/>
    </row>
    <row r="362" spans="1:10" x14ac:dyDescent="0.25">
      <c r="A362" s="436"/>
      <c r="B362" s="437"/>
      <c r="C362" s="437"/>
      <c r="D362" s="438"/>
      <c r="E362" s="439"/>
      <c r="F362" s="439"/>
      <c r="G362" s="440"/>
      <c r="H362" s="440"/>
      <c r="I362" s="440"/>
      <c r="J362" s="440"/>
    </row>
    <row r="363" spans="1:10" x14ac:dyDescent="0.25">
      <c r="A363" s="441" t="s">
        <v>534</v>
      </c>
      <c r="B363" s="442"/>
      <c r="C363" s="442"/>
      <c r="D363" s="443"/>
      <c r="E363" s="444">
        <f>SUM(E353:E362)</f>
        <v>0</v>
      </c>
      <c r="F363" s="444"/>
      <c r="G363" s="444">
        <f>SUM(G353:G362)</f>
        <v>0</v>
      </c>
      <c r="H363" s="444"/>
      <c r="I363" s="444">
        <f>SUM(I353:I362)</f>
        <v>0</v>
      </c>
      <c r="J363" s="444"/>
    </row>
    <row r="364" spans="1:10" x14ac:dyDescent="0.25">
      <c r="A364" s="494" t="s">
        <v>861</v>
      </c>
      <c r="B364" s="495"/>
      <c r="C364" s="495"/>
      <c r="D364" s="495"/>
      <c r="E364" s="495"/>
      <c r="F364" s="495"/>
      <c r="G364" s="495"/>
      <c r="H364" s="495"/>
      <c r="I364" s="495"/>
      <c r="J364" s="496"/>
    </row>
    <row r="365" spans="1:10" x14ac:dyDescent="0.25">
      <c r="A365" s="497" t="s">
        <v>862</v>
      </c>
      <c r="B365" s="498"/>
      <c r="C365" s="498"/>
      <c r="D365" s="498"/>
      <c r="E365" s="498"/>
      <c r="F365" s="498"/>
      <c r="G365" s="498"/>
      <c r="H365" s="498"/>
      <c r="I365" s="498"/>
      <c r="J365" s="499"/>
    </row>
    <row r="366" spans="1:10" x14ac:dyDescent="0.25">
      <c r="A366" s="497" t="s">
        <v>863</v>
      </c>
      <c r="B366" s="498"/>
      <c r="C366" s="498"/>
      <c r="D366" s="498"/>
      <c r="E366" s="498"/>
      <c r="F366" s="498"/>
      <c r="G366" s="498"/>
      <c r="H366" s="498"/>
      <c r="I366" s="498"/>
      <c r="J366" s="499"/>
    </row>
    <row r="367" spans="1:10" x14ac:dyDescent="0.25">
      <c r="A367" s="500" t="s">
        <v>864</v>
      </c>
      <c r="B367" s="501"/>
      <c r="C367" s="501"/>
      <c r="D367" s="501"/>
      <c r="E367" s="501"/>
      <c r="F367" s="501"/>
      <c r="G367" s="501"/>
      <c r="H367" s="501"/>
      <c r="I367" s="501"/>
      <c r="J367" s="502"/>
    </row>
    <row r="368" spans="1:10" ht="13.2" customHeight="1" x14ac:dyDescent="0.25">
      <c r="A368" s="305" t="s">
        <v>998</v>
      </c>
      <c r="B368" s="486"/>
      <c r="C368" s="486"/>
      <c r="D368" s="486"/>
      <c r="E368" s="486"/>
      <c r="F368" s="486"/>
      <c r="G368" s="486"/>
      <c r="H368" s="486"/>
      <c r="I368" s="486"/>
      <c r="J368" s="487"/>
    </row>
    <row r="369" spans="1:10" x14ac:dyDescent="0.25">
      <c r="A369" s="488"/>
      <c r="B369" s="489"/>
      <c r="C369" s="489"/>
      <c r="D369" s="489"/>
      <c r="E369" s="489"/>
      <c r="F369" s="489"/>
      <c r="G369" s="489"/>
      <c r="H369" s="489"/>
      <c r="I369" s="489"/>
      <c r="J369" s="490"/>
    </row>
    <row r="370" spans="1:10" x14ac:dyDescent="0.25">
      <c r="A370" s="488"/>
      <c r="B370" s="489"/>
      <c r="C370" s="489"/>
      <c r="D370" s="489"/>
      <c r="E370" s="489"/>
      <c r="F370" s="489"/>
      <c r="G370" s="489"/>
      <c r="H370" s="489"/>
      <c r="I370" s="489"/>
      <c r="J370" s="490"/>
    </row>
    <row r="371" spans="1:10" x14ac:dyDescent="0.25">
      <c r="A371" s="488"/>
      <c r="B371" s="489"/>
      <c r="C371" s="489"/>
      <c r="D371" s="489"/>
      <c r="E371" s="489"/>
      <c r="F371" s="489"/>
      <c r="G371" s="489"/>
      <c r="H371" s="489"/>
      <c r="I371" s="489"/>
      <c r="J371" s="490"/>
    </row>
    <row r="372" spans="1:10" x14ac:dyDescent="0.25">
      <c r="A372" s="488"/>
      <c r="B372" s="489"/>
      <c r="C372" s="489"/>
      <c r="D372" s="489"/>
      <c r="E372" s="489"/>
      <c r="F372" s="489"/>
      <c r="G372" s="489"/>
      <c r="H372" s="489"/>
      <c r="I372" s="489"/>
      <c r="J372" s="490"/>
    </row>
    <row r="373" spans="1:10" x14ac:dyDescent="0.25">
      <c r="A373" s="488"/>
      <c r="B373" s="489"/>
      <c r="C373" s="489"/>
      <c r="D373" s="489"/>
      <c r="E373" s="489"/>
      <c r="F373" s="489"/>
      <c r="G373" s="489"/>
      <c r="H373" s="489"/>
      <c r="I373" s="489"/>
      <c r="J373" s="490"/>
    </row>
    <row r="374" spans="1:10" x14ac:dyDescent="0.25">
      <c r="A374" s="488"/>
      <c r="B374" s="489"/>
      <c r="C374" s="489"/>
      <c r="D374" s="489"/>
      <c r="E374" s="489"/>
      <c r="F374" s="489"/>
      <c r="G374" s="489"/>
      <c r="H374" s="489"/>
      <c r="I374" s="489"/>
      <c r="J374" s="490"/>
    </row>
    <row r="375" spans="1:10" x14ac:dyDescent="0.25">
      <c r="A375" s="488"/>
      <c r="B375" s="489"/>
      <c r="C375" s="489"/>
      <c r="D375" s="489"/>
      <c r="E375" s="489"/>
      <c r="F375" s="489"/>
      <c r="G375" s="489"/>
      <c r="H375" s="489"/>
      <c r="I375" s="489"/>
      <c r="J375" s="490"/>
    </row>
    <row r="376" spans="1:10" x14ac:dyDescent="0.25">
      <c r="A376" s="488"/>
      <c r="B376" s="489"/>
      <c r="C376" s="489"/>
      <c r="D376" s="489"/>
      <c r="E376" s="489"/>
      <c r="F376" s="489"/>
      <c r="G376" s="489"/>
      <c r="H376" s="489"/>
      <c r="I376" s="489"/>
      <c r="J376" s="490"/>
    </row>
    <row r="377" spans="1:10" x14ac:dyDescent="0.25">
      <c r="A377" s="488"/>
      <c r="B377" s="489"/>
      <c r="C377" s="489"/>
      <c r="D377" s="489"/>
      <c r="E377" s="489"/>
      <c r="F377" s="489"/>
      <c r="G377" s="489"/>
      <c r="H377" s="489"/>
      <c r="I377" s="489"/>
      <c r="J377" s="490"/>
    </row>
    <row r="378" spans="1:10" x14ac:dyDescent="0.25">
      <c r="A378" s="488"/>
      <c r="B378" s="489"/>
      <c r="C378" s="489"/>
      <c r="D378" s="489"/>
      <c r="E378" s="489"/>
      <c r="F378" s="489"/>
      <c r="G378" s="489"/>
      <c r="H378" s="489"/>
      <c r="I378" s="489"/>
      <c r="J378" s="490"/>
    </row>
    <row r="379" spans="1:10" x14ac:dyDescent="0.25">
      <c r="A379" s="488"/>
      <c r="B379" s="489"/>
      <c r="C379" s="489"/>
      <c r="D379" s="489"/>
      <c r="E379" s="489"/>
      <c r="F379" s="489"/>
      <c r="G379" s="489"/>
      <c r="H379" s="489"/>
      <c r="I379" s="489"/>
      <c r="J379" s="490"/>
    </row>
    <row r="380" spans="1:10" x14ac:dyDescent="0.25">
      <c r="A380" s="488"/>
      <c r="B380" s="489"/>
      <c r="C380" s="489"/>
      <c r="D380" s="489"/>
      <c r="E380" s="489"/>
      <c r="F380" s="489"/>
      <c r="G380" s="489"/>
      <c r="H380" s="489"/>
      <c r="I380" s="489"/>
      <c r="J380" s="490"/>
    </row>
    <row r="381" spans="1:10" x14ac:dyDescent="0.25">
      <c r="A381" s="488"/>
      <c r="B381" s="489"/>
      <c r="C381" s="489"/>
      <c r="D381" s="489"/>
      <c r="E381" s="489"/>
      <c r="F381" s="489"/>
      <c r="G381" s="489"/>
      <c r="H381" s="489"/>
      <c r="I381" s="489"/>
      <c r="J381" s="490"/>
    </row>
    <row r="382" spans="1:10" x14ac:dyDescent="0.25">
      <c r="A382" s="488"/>
      <c r="B382" s="489"/>
      <c r="C382" s="489"/>
      <c r="D382" s="489"/>
      <c r="E382" s="489"/>
      <c r="F382" s="489"/>
      <c r="G382" s="489"/>
      <c r="H382" s="489"/>
      <c r="I382" s="489"/>
      <c r="J382" s="490"/>
    </row>
    <row r="383" spans="1:10" x14ac:dyDescent="0.25">
      <c r="A383" s="488"/>
      <c r="B383" s="489"/>
      <c r="C383" s="489"/>
      <c r="D383" s="489"/>
      <c r="E383" s="489"/>
      <c r="F383" s="489"/>
      <c r="G383" s="489"/>
      <c r="H383" s="489"/>
      <c r="I383" s="489"/>
      <c r="J383" s="490"/>
    </row>
    <row r="384" spans="1:10" x14ac:dyDescent="0.25">
      <c r="A384" s="488"/>
      <c r="B384" s="489"/>
      <c r="C384" s="489"/>
      <c r="D384" s="489"/>
      <c r="E384" s="489"/>
      <c r="F384" s="489"/>
      <c r="G384" s="489"/>
      <c r="H384" s="489"/>
      <c r="I384" s="489"/>
      <c r="J384" s="490"/>
    </row>
    <row r="385" spans="1:10" x14ac:dyDescent="0.25">
      <c r="A385" s="488"/>
      <c r="B385" s="489"/>
      <c r="C385" s="489"/>
      <c r="D385" s="489"/>
      <c r="E385" s="489"/>
      <c r="F385" s="489"/>
      <c r="G385" s="489"/>
      <c r="H385" s="489"/>
      <c r="I385" s="489"/>
      <c r="J385" s="490"/>
    </row>
    <row r="386" spans="1:10" x14ac:dyDescent="0.25">
      <c r="A386" s="488"/>
      <c r="B386" s="489"/>
      <c r="C386" s="489"/>
      <c r="D386" s="489"/>
      <c r="E386" s="489"/>
      <c r="F386" s="489"/>
      <c r="G386" s="489"/>
      <c r="H386" s="489"/>
      <c r="I386" s="489"/>
      <c r="J386" s="490"/>
    </row>
    <row r="387" spans="1:10" x14ac:dyDescent="0.25">
      <c r="A387" s="488"/>
      <c r="B387" s="489"/>
      <c r="C387" s="489"/>
      <c r="D387" s="489"/>
      <c r="E387" s="489"/>
      <c r="F387" s="489"/>
      <c r="G387" s="489"/>
      <c r="H387" s="489"/>
      <c r="I387" s="489"/>
      <c r="J387" s="490"/>
    </row>
    <row r="388" spans="1:10" x14ac:dyDescent="0.25">
      <c r="A388" s="488"/>
      <c r="B388" s="489"/>
      <c r="C388" s="489"/>
      <c r="D388" s="489"/>
      <c r="E388" s="489"/>
      <c r="F388" s="489"/>
      <c r="G388" s="489"/>
      <c r="H388" s="489"/>
      <c r="I388" s="489"/>
      <c r="J388" s="490"/>
    </row>
    <row r="389" spans="1:10" x14ac:dyDescent="0.25">
      <c r="A389" s="488"/>
      <c r="B389" s="489"/>
      <c r="C389" s="489"/>
      <c r="D389" s="489"/>
      <c r="E389" s="489"/>
      <c r="F389" s="489"/>
      <c r="G389" s="489"/>
      <c r="H389" s="489"/>
      <c r="I389" s="489"/>
      <c r="J389" s="490"/>
    </row>
    <row r="390" spans="1:10" x14ac:dyDescent="0.25">
      <c r="A390" s="488"/>
      <c r="B390" s="489"/>
      <c r="C390" s="489"/>
      <c r="D390" s="489"/>
      <c r="E390" s="489"/>
      <c r="F390" s="489"/>
      <c r="G390" s="489"/>
      <c r="H390" s="489"/>
      <c r="I390" s="489"/>
      <c r="J390" s="490"/>
    </row>
    <row r="391" spans="1:10" x14ac:dyDescent="0.25">
      <c r="A391" s="488"/>
      <c r="B391" s="489"/>
      <c r="C391" s="489"/>
      <c r="D391" s="489"/>
      <c r="E391" s="489"/>
      <c r="F391" s="489"/>
      <c r="G391" s="489"/>
      <c r="H391" s="489"/>
      <c r="I391" s="489"/>
      <c r="J391" s="490"/>
    </row>
    <row r="392" spans="1:10" x14ac:dyDescent="0.25">
      <c r="A392" s="488"/>
      <c r="B392" s="489"/>
      <c r="C392" s="489"/>
      <c r="D392" s="489"/>
      <c r="E392" s="489"/>
      <c r="F392" s="489"/>
      <c r="G392" s="489"/>
      <c r="H392" s="489"/>
      <c r="I392" s="489"/>
      <c r="J392" s="490"/>
    </row>
    <row r="393" spans="1:10" x14ac:dyDescent="0.25">
      <c r="A393" s="488"/>
      <c r="B393" s="489"/>
      <c r="C393" s="489"/>
      <c r="D393" s="489"/>
      <c r="E393" s="489"/>
      <c r="F393" s="489"/>
      <c r="G393" s="489"/>
      <c r="H393" s="489"/>
      <c r="I393" s="489"/>
      <c r="J393" s="490"/>
    </row>
    <row r="394" spans="1:10" x14ac:dyDescent="0.25">
      <c r="A394" s="488"/>
      <c r="B394" s="489"/>
      <c r="C394" s="489"/>
      <c r="D394" s="489"/>
      <c r="E394" s="489"/>
      <c r="F394" s="489"/>
      <c r="G394" s="489"/>
      <c r="H394" s="489"/>
      <c r="I394" s="489"/>
      <c r="J394" s="490"/>
    </row>
    <row r="395" spans="1:10" x14ac:dyDescent="0.25">
      <c r="A395" s="488"/>
      <c r="B395" s="489"/>
      <c r="C395" s="489"/>
      <c r="D395" s="489"/>
      <c r="E395" s="489"/>
      <c r="F395" s="489"/>
      <c r="G395" s="489"/>
      <c r="H395" s="489"/>
      <c r="I395" s="489"/>
      <c r="J395" s="490"/>
    </row>
    <row r="396" spans="1:10" x14ac:dyDescent="0.25">
      <c r="A396" s="488"/>
      <c r="B396" s="489"/>
      <c r="C396" s="489"/>
      <c r="D396" s="489"/>
      <c r="E396" s="489"/>
      <c r="F396" s="489"/>
      <c r="G396" s="489"/>
      <c r="H396" s="489"/>
      <c r="I396" s="489"/>
      <c r="J396" s="490"/>
    </row>
    <row r="397" spans="1:10" x14ac:dyDescent="0.25">
      <c r="A397" s="488"/>
      <c r="B397" s="489"/>
      <c r="C397" s="489"/>
      <c r="D397" s="489"/>
      <c r="E397" s="489"/>
      <c r="F397" s="489"/>
      <c r="G397" s="489"/>
      <c r="H397" s="489"/>
      <c r="I397" s="489"/>
      <c r="J397" s="490"/>
    </row>
    <row r="398" spans="1:10" x14ac:dyDescent="0.25">
      <c r="A398" s="488"/>
      <c r="B398" s="489"/>
      <c r="C398" s="489"/>
      <c r="D398" s="489"/>
      <c r="E398" s="489"/>
      <c r="F398" s="489"/>
      <c r="G398" s="489"/>
      <c r="H398" s="489"/>
      <c r="I398" s="489"/>
      <c r="J398" s="490"/>
    </row>
    <row r="399" spans="1:10" x14ac:dyDescent="0.25">
      <c r="A399" s="488"/>
      <c r="B399" s="489"/>
      <c r="C399" s="489"/>
      <c r="D399" s="489"/>
      <c r="E399" s="489"/>
      <c r="F399" s="489"/>
      <c r="G399" s="489"/>
      <c r="H399" s="489"/>
      <c r="I399" s="489"/>
      <c r="J399" s="490"/>
    </row>
    <row r="400" spans="1:10" x14ac:dyDescent="0.25">
      <c r="A400" s="488"/>
      <c r="B400" s="489"/>
      <c r="C400" s="489"/>
      <c r="D400" s="489"/>
      <c r="E400" s="489"/>
      <c r="F400" s="489"/>
      <c r="G400" s="489"/>
      <c r="H400" s="489"/>
      <c r="I400" s="489"/>
      <c r="J400" s="490"/>
    </row>
    <row r="401" spans="1:10" x14ac:dyDescent="0.25">
      <c r="A401" s="488"/>
      <c r="B401" s="489"/>
      <c r="C401" s="489"/>
      <c r="D401" s="489"/>
      <c r="E401" s="489"/>
      <c r="F401" s="489"/>
      <c r="G401" s="489"/>
      <c r="H401" s="489"/>
      <c r="I401" s="489"/>
      <c r="J401" s="490"/>
    </row>
    <row r="402" spans="1:10" x14ac:dyDescent="0.25">
      <c r="A402" s="491"/>
      <c r="B402" s="492"/>
      <c r="C402" s="492"/>
      <c r="D402" s="492"/>
      <c r="E402" s="492"/>
      <c r="F402" s="492"/>
      <c r="G402" s="492"/>
      <c r="H402" s="492"/>
      <c r="I402" s="492"/>
      <c r="J402" s="493"/>
    </row>
    <row r="404" spans="1:10" ht="15.6" x14ac:dyDescent="0.3">
      <c r="A404" s="355" t="s">
        <v>848</v>
      </c>
      <c r="B404" s="356"/>
      <c r="C404" s="356"/>
      <c r="D404" s="356"/>
      <c r="E404" s="356"/>
      <c r="F404" s="356"/>
      <c r="G404" s="356"/>
      <c r="H404" s="353" t="str">
        <f>'CONTACT INFORMATION'!$A$24</f>
        <v>Alameda</v>
      </c>
      <c r="I404" s="353"/>
      <c r="J404" s="354"/>
    </row>
    <row r="405" spans="1:10" ht="8.1" customHeight="1" x14ac:dyDescent="0.25">
      <c r="A405" s="163"/>
      <c r="B405" s="163"/>
      <c r="C405" s="163"/>
      <c r="D405" s="163"/>
      <c r="E405" s="163"/>
      <c r="F405" s="163"/>
      <c r="G405" s="163"/>
      <c r="H405" s="163"/>
      <c r="I405" s="163"/>
      <c r="J405" s="163"/>
    </row>
    <row r="406" spans="1:10" ht="13.8" x14ac:dyDescent="0.25">
      <c r="A406" s="466" t="s">
        <v>856</v>
      </c>
      <c r="B406" s="467"/>
      <c r="C406" s="467"/>
      <c r="D406" s="467"/>
      <c r="E406" s="467"/>
      <c r="F406" s="467"/>
      <c r="G406" s="467"/>
      <c r="H406" s="467"/>
      <c r="I406" s="467"/>
      <c r="J406" s="468"/>
    </row>
    <row r="407" spans="1:10" x14ac:dyDescent="0.25">
      <c r="A407" s="463" t="s">
        <v>854</v>
      </c>
      <c r="B407" s="464"/>
      <c r="C407" s="464"/>
      <c r="D407" s="465"/>
      <c r="E407" s="544" t="s">
        <v>943</v>
      </c>
      <c r="F407" s="545"/>
      <c r="G407" s="545"/>
      <c r="H407" s="545"/>
      <c r="I407" s="545"/>
      <c r="J407" s="546"/>
    </row>
    <row r="408" spans="1:10" x14ac:dyDescent="0.25">
      <c r="A408" s="503" t="s">
        <v>853</v>
      </c>
      <c r="B408" s="504"/>
      <c r="C408" s="504"/>
      <c r="D408" s="505"/>
      <c r="E408" s="547"/>
      <c r="F408" s="548"/>
      <c r="G408" s="548"/>
      <c r="H408" s="548"/>
      <c r="I408" s="548"/>
      <c r="J408" s="549"/>
    </row>
    <row r="409" spans="1:10" x14ac:dyDescent="0.25">
      <c r="A409" s="541" t="s">
        <v>808</v>
      </c>
      <c r="B409" s="542"/>
      <c r="C409" s="542"/>
      <c r="D409" s="543"/>
      <c r="E409" s="479" t="s">
        <v>517</v>
      </c>
      <c r="F409" s="480"/>
      <c r="G409" s="480"/>
      <c r="H409" s="480"/>
      <c r="I409" s="480"/>
      <c r="J409" s="481"/>
    </row>
    <row r="410" spans="1:10" ht="27" customHeight="1" x14ac:dyDescent="0.25">
      <c r="A410" s="157"/>
      <c r="B410" s="208"/>
      <c r="C410" s="208"/>
      <c r="D410" s="208"/>
      <c r="E410" s="482" t="s">
        <v>535</v>
      </c>
      <c r="F410" s="483"/>
      <c r="G410" s="482" t="s">
        <v>533</v>
      </c>
      <c r="H410" s="483"/>
      <c r="I410" s="484" t="s">
        <v>849</v>
      </c>
      <c r="J410" s="485"/>
    </row>
    <row r="411" spans="1:10" x14ac:dyDescent="0.25">
      <c r="A411" s="448" t="s">
        <v>527</v>
      </c>
      <c r="B411" s="449"/>
      <c r="C411" s="449"/>
      <c r="D411" s="450"/>
      <c r="E411" s="456"/>
      <c r="F411" s="456"/>
      <c r="G411" s="456"/>
      <c r="H411" s="456"/>
      <c r="I411" s="457"/>
      <c r="J411" s="457"/>
    </row>
    <row r="412" spans="1:10" x14ac:dyDescent="0.25">
      <c r="A412" s="452" t="s">
        <v>528</v>
      </c>
      <c r="B412" s="453"/>
      <c r="C412" s="453"/>
      <c r="D412" s="454"/>
      <c r="E412" s="460">
        <v>24874</v>
      </c>
      <c r="F412" s="460"/>
      <c r="G412" s="440">
        <v>1290</v>
      </c>
      <c r="H412" s="440"/>
      <c r="I412" s="455"/>
      <c r="J412" s="455"/>
    </row>
    <row r="413" spans="1:10" x14ac:dyDescent="0.25">
      <c r="A413" s="448" t="s">
        <v>529</v>
      </c>
      <c r="B413" s="449"/>
      <c r="C413" s="449"/>
      <c r="D413" s="450"/>
      <c r="E413" s="456"/>
      <c r="F413" s="456"/>
      <c r="G413" s="456"/>
      <c r="H413" s="456"/>
      <c r="I413" s="457"/>
      <c r="J413" s="457"/>
    </row>
    <row r="414" spans="1:10" x14ac:dyDescent="0.25">
      <c r="A414" s="452" t="s">
        <v>530</v>
      </c>
      <c r="B414" s="453"/>
      <c r="C414" s="453"/>
      <c r="D414" s="454"/>
      <c r="E414" s="439"/>
      <c r="F414" s="439"/>
      <c r="G414" s="440"/>
      <c r="H414" s="440"/>
      <c r="I414" s="455"/>
      <c r="J414" s="455"/>
    </row>
    <row r="415" spans="1:10" x14ac:dyDescent="0.25">
      <c r="A415" s="448" t="s">
        <v>531</v>
      </c>
      <c r="B415" s="449"/>
      <c r="C415" s="449"/>
      <c r="D415" s="450"/>
      <c r="E415" s="456"/>
      <c r="F415" s="456"/>
      <c r="G415" s="456"/>
      <c r="H415" s="456"/>
      <c r="I415" s="457"/>
      <c r="J415" s="457"/>
    </row>
    <row r="416" spans="1:10" x14ac:dyDescent="0.25">
      <c r="A416" s="452" t="s">
        <v>532</v>
      </c>
      <c r="B416" s="453"/>
      <c r="C416" s="453"/>
      <c r="D416" s="454"/>
      <c r="E416" s="439"/>
      <c r="F416" s="439"/>
      <c r="G416" s="440"/>
      <c r="H416" s="440"/>
      <c r="I416" s="455"/>
      <c r="J416" s="455"/>
    </row>
    <row r="417" spans="1:10" x14ac:dyDescent="0.25">
      <c r="A417" s="448" t="s">
        <v>537</v>
      </c>
      <c r="B417" s="449"/>
      <c r="C417" s="449"/>
      <c r="D417" s="450"/>
      <c r="E417" s="451"/>
      <c r="F417" s="451"/>
      <c r="G417" s="451"/>
      <c r="H417" s="451"/>
      <c r="I417" s="445"/>
      <c r="J417" s="445"/>
    </row>
    <row r="418" spans="1:10" x14ac:dyDescent="0.25">
      <c r="A418" s="436"/>
      <c r="B418" s="437"/>
      <c r="C418" s="437"/>
      <c r="D418" s="438"/>
      <c r="E418" s="439"/>
      <c r="F418" s="439"/>
      <c r="G418" s="440"/>
      <c r="H418" s="440"/>
      <c r="I418" s="440"/>
      <c r="J418" s="440"/>
    </row>
    <row r="419" spans="1:10" x14ac:dyDescent="0.25">
      <c r="A419" s="436"/>
      <c r="B419" s="437"/>
      <c r="C419" s="437"/>
      <c r="D419" s="438"/>
      <c r="E419" s="439"/>
      <c r="F419" s="439"/>
      <c r="G419" s="440"/>
      <c r="H419" s="440"/>
      <c r="I419" s="440"/>
      <c r="J419" s="440"/>
    </row>
    <row r="420" spans="1:10" x14ac:dyDescent="0.25">
      <c r="A420" s="436"/>
      <c r="B420" s="437"/>
      <c r="C420" s="437"/>
      <c r="D420" s="438"/>
      <c r="E420" s="439"/>
      <c r="F420" s="439"/>
      <c r="G420" s="440"/>
      <c r="H420" s="440"/>
      <c r="I420" s="440"/>
      <c r="J420" s="440"/>
    </row>
    <row r="421" spans="1:10" x14ac:dyDescent="0.25">
      <c r="A421" s="441" t="s">
        <v>534</v>
      </c>
      <c r="B421" s="442"/>
      <c r="C421" s="442"/>
      <c r="D421" s="443"/>
      <c r="E421" s="444">
        <f>SUM(E411:E420)</f>
        <v>24874</v>
      </c>
      <c r="F421" s="444"/>
      <c r="G421" s="444">
        <f>SUM(G411:G420)</f>
        <v>1290</v>
      </c>
      <c r="H421" s="444"/>
      <c r="I421" s="444">
        <f>SUM(I411:I420)</f>
        <v>0</v>
      </c>
      <c r="J421" s="444"/>
    </row>
    <row r="422" spans="1:10" x14ac:dyDescent="0.25">
      <c r="A422" s="494" t="s">
        <v>861</v>
      </c>
      <c r="B422" s="495"/>
      <c r="C422" s="495"/>
      <c r="D422" s="495"/>
      <c r="E422" s="495"/>
      <c r="F422" s="495"/>
      <c r="G422" s="495"/>
      <c r="H422" s="495"/>
      <c r="I422" s="495"/>
      <c r="J422" s="496"/>
    </row>
    <row r="423" spans="1:10" x14ac:dyDescent="0.25">
      <c r="A423" s="497" t="s">
        <v>862</v>
      </c>
      <c r="B423" s="498"/>
      <c r="C423" s="498"/>
      <c r="D423" s="498"/>
      <c r="E423" s="498"/>
      <c r="F423" s="498"/>
      <c r="G423" s="498"/>
      <c r="H423" s="498"/>
      <c r="I423" s="498"/>
      <c r="J423" s="499"/>
    </row>
    <row r="424" spans="1:10" x14ac:dyDescent="0.25">
      <c r="A424" s="497" t="s">
        <v>863</v>
      </c>
      <c r="B424" s="498"/>
      <c r="C424" s="498"/>
      <c r="D424" s="498"/>
      <c r="E424" s="498"/>
      <c r="F424" s="498"/>
      <c r="G424" s="498"/>
      <c r="H424" s="498"/>
      <c r="I424" s="498"/>
      <c r="J424" s="499"/>
    </row>
    <row r="425" spans="1:10" x14ac:dyDescent="0.25">
      <c r="A425" s="500" t="s">
        <v>864</v>
      </c>
      <c r="B425" s="501"/>
      <c r="C425" s="501"/>
      <c r="D425" s="501"/>
      <c r="E425" s="501"/>
      <c r="F425" s="501"/>
      <c r="G425" s="501"/>
      <c r="H425" s="501"/>
      <c r="I425" s="501"/>
      <c r="J425" s="502"/>
    </row>
    <row r="426" spans="1:10" x14ac:dyDescent="0.25">
      <c r="A426" s="305" t="s">
        <v>973</v>
      </c>
      <c r="B426" s="486"/>
      <c r="C426" s="486"/>
      <c r="D426" s="486"/>
      <c r="E426" s="486"/>
      <c r="F426" s="486"/>
      <c r="G426" s="486"/>
      <c r="H426" s="486"/>
      <c r="I426" s="486"/>
      <c r="J426" s="487"/>
    </row>
    <row r="427" spans="1:10" x14ac:dyDescent="0.25">
      <c r="A427" s="488"/>
      <c r="B427" s="489"/>
      <c r="C427" s="489"/>
      <c r="D427" s="489"/>
      <c r="E427" s="489"/>
      <c r="F427" s="489"/>
      <c r="G427" s="489"/>
      <c r="H427" s="489"/>
      <c r="I427" s="489"/>
      <c r="J427" s="490"/>
    </row>
    <row r="428" spans="1:10" x14ac:dyDescent="0.25">
      <c r="A428" s="488"/>
      <c r="B428" s="489"/>
      <c r="C428" s="489"/>
      <c r="D428" s="489"/>
      <c r="E428" s="489"/>
      <c r="F428" s="489"/>
      <c r="G428" s="489"/>
      <c r="H428" s="489"/>
      <c r="I428" s="489"/>
      <c r="J428" s="490"/>
    </row>
    <row r="429" spans="1:10" x14ac:dyDescent="0.25">
      <c r="A429" s="488"/>
      <c r="B429" s="489"/>
      <c r="C429" s="489"/>
      <c r="D429" s="489"/>
      <c r="E429" s="489"/>
      <c r="F429" s="489"/>
      <c r="G429" s="489"/>
      <c r="H429" s="489"/>
      <c r="I429" s="489"/>
      <c r="J429" s="490"/>
    </row>
    <row r="430" spans="1:10" x14ac:dyDescent="0.25">
      <c r="A430" s="488"/>
      <c r="B430" s="489"/>
      <c r="C430" s="489"/>
      <c r="D430" s="489"/>
      <c r="E430" s="489"/>
      <c r="F430" s="489"/>
      <c r="G430" s="489"/>
      <c r="H430" s="489"/>
      <c r="I430" s="489"/>
      <c r="J430" s="490"/>
    </row>
    <row r="431" spans="1:10" x14ac:dyDescent="0.25">
      <c r="A431" s="488"/>
      <c r="B431" s="489"/>
      <c r="C431" s="489"/>
      <c r="D431" s="489"/>
      <c r="E431" s="489"/>
      <c r="F431" s="489"/>
      <c r="G431" s="489"/>
      <c r="H431" s="489"/>
      <c r="I431" s="489"/>
      <c r="J431" s="490"/>
    </row>
    <row r="432" spans="1:10" x14ac:dyDescent="0.25">
      <c r="A432" s="488"/>
      <c r="B432" s="489"/>
      <c r="C432" s="489"/>
      <c r="D432" s="489"/>
      <c r="E432" s="489"/>
      <c r="F432" s="489"/>
      <c r="G432" s="489"/>
      <c r="H432" s="489"/>
      <c r="I432" s="489"/>
      <c r="J432" s="490"/>
    </row>
    <row r="433" spans="1:10" x14ac:dyDescent="0.25">
      <c r="A433" s="488"/>
      <c r="B433" s="489"/>
      <c r="C433" s="489"/>
      <c r="D433" s="489"/>
      <c r="E433" s="489"/>
      <c r="F433" s="489"/>
      <c r="G433" s="489"/>
      <c r="H433" s="489"/>
      <c r="I433" s="489"/>
      <c r="J433" s="490"/>
    </row>
    <row r="434" spans="1:10" x14ac:dyDescent="0.25">
      <c r="A434" s="488"/>
      <c r="B434" s="489"/>
      <c r="C434" s="489"/>
      <c r="D434" s="489"/>
      <c r="E434" s="489"/>
      <c r="F434" s="489"/>
      <c r="G434" s="489"/>
      <c r="H434" s="489"/>
      <c r="I434" s="489"/>
      <c r="J434" s="490"/>
    </row>
    <row r="435" spans="1:10" x14ac:dyDescent="0.25">
      <c r="A435" s="488"/>
      <c r="B435" s="489"/>
      <c r="C435" s="489"/>
      <c r="D435" s="489"/>
      <c r="E435" s="489"/>
      <c r="F435" s="489"/>
      <c r="G435" s="489"/>
      <c r="H435" s="489"/>
      <c r="I435" s="489"/>
      <c r="J435" s="490"/>
    </row>
    <row r="436" spans="1:10" x14ac:dyDescent="0.25">
      <c r="A436" s="488"/>
      <c r="B436" s="489"/>
      <c r="C436" s="489"/>
      <c r="D436" s="489"/>
      <c r="E436" s="489"/>
      <c r="F436" s="489"/>
      <c r="G436" s="489"/>
      <c r="H436" s="489"/>
      <c r="I436" s="489"/>
      <c r="J436" s="490"/>
    </row>
    <row r="437" spans="1:10" x14ac:dyDescent="0.25">
      <c r="A437" s="488"/>
      <c r="B437" s="489"/>
      <c r="C437" s="489"/>
      <c r="D437" s="489"/>
      <c r="E437" s="489"/>
      <c r="F437" s="489"/>
      <c r="G437" s="489"/>
      <c r="H437" s="489"/>
      <c r="I437" s="489"/>
      <c r="J437" s="490"/>
    </row>
    <row r="438" spans="1:10" x14ac:dyDescent="0.25">
      <c r="A438" s="488"/>
      <c r="B438" s="489"/>
      <c r="C438" s="489"/>
      <c r="D438" s="489"/>
      <c r="E438" s="489"/>
      <c r="F438" s="489"/>
      <c r="G438" s="489"/>
      <c r="H438" s="489"/>
      <c r="I438" s="489"/>
      <c r="J438" s="490"/>
    </row>
    <row r="439" spans="1:10" x14ac:dyDescent="0.25">
      <c r="A439" s="488"/>
      <c r="B439" s="489"/>
      <c r="C439" s="489"/>
      <c r="D439" s="489"/>
      <c r="E439" s="489"/>
      <c r="F439" s="489"/>
      <c r="G439" s="489"/>
      <c r="H439" s="489"/>
      <c r="I439" s="489"/>
      <c r="J439" s="490"/>
    </row>
    <row r="440" spans="1:10" x14ac:dyDescent="0.25">
      <c r="A440" s="488"/>
      <c r="B440" s="489"/>
      <c r="C440" s="489"/>
      <c r="D440" s="489"/>
      <c r="E440" s="489"/>
      <c r="F440" s="489"/>
      <c r="G440" s="489"/>
      <c r="H440" s="489"/>
      <c r="I440" s="489"/>
      <c r="J440" s="490"/>
    </row>
    <row r="441" spans="1:10" x14ac:dyDescent="0.25">
      <c r="A441" s="488"/>
      <c r="B441" s="489"/>
      <c r="C441" s="489"/>
      <c r="D441" s="489"/>
      <c r="E441" s="489"/>
      <c r="F441" s="489"/>
      <c r="G441" s="489"/>
      <c r="H441" s="489"/>
      <c r="I441" s="489"/>
      <c r="J441" s="490"/>
    </row>
    <row r="442" spans="1:10" x14ac:dyDescent="0.25">
      <c r="A442" s="488"/>
      <c r="B442" s="489"/>
      <c r="C442" s="489"/>
      <c r="D442" s="489"/>
      <c r="E442" s="489"/>
      <c r="F442" s="489"/>
      <c r="G442" s="489"/>
      <c r="H442" s="489"/>
      <c r="I442" s="489"/>
      <c r="J442" s="490"/>
    </row>
    <row r="443" spans="1:10" x14ac:dyDescent="0.25">
      <c r="A443" s="488"/>
      <c r="B443" s="489"/>
      <c r="C443" s="489"/>
      <c r="D443" s="489"/>
      <c r="E443" s="489"/>
      <c r="F443" s="489"/>
      <c r="G443" s="489"/>
      <c r="H443" s="489"/>
      <c r="I443" s="489"/>
      <c r="J443" s="490"/>
    </row>
    <row r="444" spans="1:10" x14ac:dyDescent="0.25">
      <c r="A444" s="488"/>
      <c r="B444" s="489"/>
      <c r="C444" s="489"/>
      <c r="D444" s="489"/>
      <c r="E444" s="489"/>
      <c r="F444" s="489"/>
      <c r="G444" s="489"/>
      <c r="H444" s="489"/>
      <c r="I444" s="489"/>
      <c r="J444" s="490"/>
    </row>
    <row r="445" spans="1:10" x14ac:dyDescent="0.25">
      <c r="A445" s="488"/>
      <c r="B445" s="489"/>
      <c r="C445" s="489"/>
      <c r="D445" s="489"/>
      <c r="E445" s="489"/>
      <c r="F445" s="489"/>
      <c r="G445" s="489"/>
      <c r="H445" s="489"/>
      <c r="I445" s="489"/>
      <c r="J445" s="490"/>
    </row>
    <row r="446" spans="1:10" x14ac:dyDescent="0.25">
      <c r="A446" s="488"/>
      <c r="B446" s="489"/>
      <c r="C446" s="489"/>
      <c r="D446" s="489"/>
      <c r="E446" s="489"/>
      <c r="F446" s="489"/>
      <c r="G446" s="489"/>
      <c r="H446" s="489"/>
      <c r="I446" s="489"/>
      <c r="J446" s="490"/>
    </row>
    <row r="447" spans="1:10" x14ac:dyDescent="0.25">
      <c r="A447" s="488"/>
      <c r="B447" s="489"/>
      <c r="C447" s="489"/>
      <c r="D447" s="489"/>
      <c r="E447" s="489"/>
      <c r="F447" s="489"/>
      <c r="G447" s="489"/>
      <c r="H447" s="489"/>
      <c r="I447" s="489"/>
      <c r="J447" s="490"/>
    </row>
    <row r="448" spans="1:10" x14ac:dyDescent="0.25">
      <c r="A448" s="488"/>
      <c r="B448" s="489"/>
      <c r="C448" s="489"/>
      <c r="D448" s="489"/>
      <c r="E448" s="489"/>
      <c r="F448" s="489"/>
      <c r="G448" s="489"/>
      <c r="H448" s="489"/>
      <c r="I448" s="489"/>
      <c r="J448" s="490"/>
    </row>
    <row r="449" spans="1:10" x14ac:dyDescent="0.25">
      <c r="A449" s="488"/>
      <c r="B449" s="489"/>
      <c r="C449" s="489"/>
      <c r="D449" s="489"/>
      <c r="E449" s="489"/>
      <c r="F449" s="489"/>
      <c r="G449" s="489"/>
      <c r="H449" s="489"/>
      <c r="I449" s="489"/>
      <c r="J449" s="490"/>
    </row>
    <row r="450" spans="1:10" x14ac:dyDescent="0.25">
      <c r="A450" s="488"/>
      <c r="B450" s="489"/>
      <c r="C450" s="489"/>
      <c r="D450" s="489"/>
      <c r="E450" s="489"/>
      <c r="F450" s="489"/>
      <c r="G450" s="489"/>
      <c r="H450" s="489"/>
      <c r="I450" s="489"/>
      <c r="J450" s="490"/>
    </row>
    <row r="451" spans="1:10" x14ac:dyDescent="0.25">
      <c r="A451" s="488"/>
      <c r="B451" s="489"/>
      <c r="C451" s="489"/>
      <c r="D451" s="489"/>
      <c r="E451" s="489"/>
      <c r="F451" s="489"/>
      <c r="G451" s="489"/>
      <c r="H451" s="489"/>
      <c r="I451" s="489"/>
      <c r="J451" s="490"/>
    </row>
    <row r="452" spans="1:10" x14ac:dyDescent="0.25">
      <c r="A452" s="488"/>
      <c r="B452" s="489"/>
      <c r="C452" s="489"/>
      <c r="D452" s="489"/>
      <c r="E452" s="489"/>
      <c r="F452" s="489"/>
      <c r="G452" s="489"/>
      <c r="H452" s="489"/>
      <c r="I452" s="489"/>
      <c r="J452" s="490"/>
    </row>
    <row r="453" spans="1:10" x14ac:dyDescent="0.25">
      <c r="A453" s="488"/>
      <c r="B453" s="489"/>
      <c r="C453" s="489"/>
      <c r="D453" s="489"/>
      <c r="E453" s="489"/>
      <c r="F453" s="489"/>
      <c r="G453" s="489"/>
      <c r="H453" s="489"/>
      <c r="I453" s="489"/>
      <c r="J453" s="490"/>
    </row>
    <row r="454" spans="1:10" x14ac:dyDescent="0.25">
      <c r="A454" s="488"/>
      <c r="B454" s="489"/>
      <c r="C454" s="489"/>
      <c r="D454" s="489"/>
      <c r="E454" s="489"/>
      <c r="F454" s="489"/>
      <c r="G454" s="489"/>
      <c r="H454" s="489"/>
      <c r="I454" s="489"/>
      <c r="J454" s="490"/>
    </row>
    <row r="455" spans="1:10" x14ac:dyDescent="0.25">
      <c r="A455" s="488"/>
      <c r="B455" s="489"/>
      <c r="C455" s="489"/>
      <c r="D455" s="489"/>
      <c r="E455" s="489"/>
      <c r="F455" s="489"/>
      <c r="G455" s="489"/>
      <c r="H455" s="489"/>
      <c r="I455" s="489"/>
      <c r="J455" s="490"/>
    </row>
    <row r="456" spans="1:10" x14ac:dyDescent="0.25">
      <c r="A456" s="488"/>
      <c r="B456" s="489"/>
      <c r="C456" s="489"/>
      <c r="D456" s="489"/>
      <c r="E456" s="489"/>
      <c r="F456" s="489"/>
      <c r="G456" s="489"/>
      <c r="H456" s="489"/>
      <c r="I456" s="489"/>
      <c r="J456" s="490"/>
    </row>
    <row r="457" spans="1:10" x14ac:dyDescent="0.25">
      <c r="A457" s="488"/>
      <c r="B457" s="489"/>
      <c r="C457" s="489"/>
      <c r="D457" s="489"/>
      <c r="E457" s="489"/>
      <c r="F457" s="489"/>
      <c r="G457" s="489"/>
      <c r="H457" s="489"/>
      <c r="I457" s="489"/>
      <c r="J457" s="490"/>
    </row>
    <row r="458" spans="1:10" x14ac:dyDescent="0.25">
      <c r="A458" s="488"/>
      <c r="B458" s="489"/>
      <c r="C458" s="489"/>
      <c r="D458" s="489"/>
      <c r="E458" s="489"/>
      <c r="F458" s="489"/>
      <c r="G458" s="489"/>
      <c r="H458" s="489"/>
      <c r="I458" s="489"/>
      <c r="J458" s="490"/>
    </row>
    <row r="459" spans="1:10" x14ac:dyDescent="0.25">
      <c r="A459" s="488"/>
      <c r="B459" s="489"/>
      <c r="C459" s="489"/>
      <c r="D459" s="489"/>
      <c r="E459" s="489"/>
      <c r="F459" s="489"/>
      <c r="G459" s="489"/>
      <c r="H459" s="489"/>
      <c r="I459" s="489"/>
      <c r="J459" s="490"/>
    </row>
    <row r="460" spans="1:10" x14ac:dyDescent="0.25">
      <c r="A460" s="491"/>
      <c r="B460" s="492"/>
      <c r="C460" s="492"/>
      <c r="D460" s="492"/>
      <c r="E460" s="492"/>
      <c r="F460" s="492"/>
      <c r="G460" s="492"/>
      <c r="H460" s="492"/>
      <c r="I460" s="492"/>
      <c r="J460" s="493"/>
    </row>
    <row r="462" spans="1:10" ht="15.6" x14ac:dyDescent="0.3">
      <c r="A462" s="355" t="s">
        <v>848</v>
      </c>
      <c r="B462" s="356"/>
      <c r="C462" s="356"/>
      <c r="D462" s="356"/>
      <c r="E462" s="356"/>
      <c r="F462" s="356"/>
      <c r="G462" s="356"/>
      <c r="H462" s="353" t="str">
        <f>'CONTACT INFORMATION'!$A$24</f>
        <v>Alameda</v>
      </c>
      <c r="I462" s="353"/>
      <c r="J462" s="354"/>
    </row>
    <row r="463" spans="1:10" ht="8.1" customHeight="1" x14ac:dyDescent="0.25">
      <c r="A463" s="163"/>
      <c r="B463" s="163"/>
      <c r="C463" s="163"/>
      <c r="D463" s="163"/>
      <c r="E463" s="163"/>
      <c r="F463" s="163"/>
      <c r="G463" s="163"/>
      <c r="H463" s="163"/>
      <c r="I463" s="163"/>
      <c r="J463" s="163"/>
    </row>
    <row r="464" spans="1:10" ht="13.8" x14ac:dyDescent="0.25">
      <c r="A464" s="466" t="s">
        <v>857</v>
      </c>
      <c r="B464" s="467"/>
      <c r="C464" s="467"/>
      <c r="D464" s="467"/>
      <c r="E464" s="467"/>
      <c r="F464" s="467"/>
      <c r="G464" s="467"/>
      <c r="H464" s="467"/>
      <c r="I464" s="467"/>
      <c r="J464" s="468"/>
    </row>
    <row r="465" spans="1:10" x14ac:dyDescent="0.25">
      <c r="A465" s="463" t="s">
        <v>854</v>
      </c>
      <c r="B465" s="464"/>
      <c r="C465" s="464"/>
      <c r="D465" s="465"/>
      <c r="E465" s="544" t="s">
        <v>944</v>
      </c>
      <c r="F465" s="545"/>
      <c r="G465" s="545"/>
      <c r="H465" s="545"/>
      <c r="I465" s="545"/>
      <c r="J465" s="546"/>
    </row>
    <row r="466" spans="1:10" x14ac:dyDescent="0.25">
      <c r="A466" s="503" t="s">
        <v>853</v>
      </c>
      <c r="B466" s="504"/>
      <c r="C466" s="504"/>
      <c r="D466" s="505"/>
      <c r="E466" s="547"/>
      <c r="F466" s="548"/>
      <c r="G466" s="548"/>
      <c r="H466" s="548"/>
      <c r="I466" s="548"/>
      <c r="J466" s="549"/>
    </row>
    <row r="467" spans="1:10" x14ac:dyDescent="0.25">
      <c r="A467" s="541" t="s">
        <v>808</v>
      </c>
      <c r="B467" s="542"/>
      <c r="C467" s="542"/>
      <c r="D467" s="543"/>
      <c r="E467" s="479" t="s">
        <v>510</v>
      </c>
      <c r="F467" s="480"/>
      <c r="G467" s="480"/>
      <c r="H467" s="480"/>
      <c r="I467" s="480"/>
      <c r="J467" s="481"/>
    </row>
    <row r="468" spans="1:10" ht="27" customHeight="1" x14ac:dyDescent="0.25">
      <c r="A468" s="157"/>
      <c r="B468" s="208"/>
      <c r="C468" s="208"/>
      <c r="D468" s="208"/>
      <c r="E468" s="482" t="s">
        <v>535</v>
      </c>
      <c r="F468" s="483"/>
      <c r="G468" s="482" t="s">
        <v>533</v>
      </c>
      <c r="H468" s="483"/>
      <c r="I468" s="484" t="s">
        <v>849</v>
      </c>
      <c r="J468" s="485"/>
    </row>
    <row r="469" spans="1:10" x14ac:dyDescent="0.25">
      <c r="A469" s="448" t="s">
        <v>527</v>
      </c>
      <c r="B469" s="449"/>
      <c r="C469" s="449"/>
      <c r="D469" s="450"/>
      <c r="E469" s="456"/>
      <c r="F469" s="456"/>
      <c r="G469" s="456"/>
      <c r="H469" s="456"/>
      <c r="I469" s="457"/>
      <c r="J469" s="457"/>
    </row>
    <row r="470" spans="1:10" x14ac:dyDescent="0.25">
      <c r="A470" s="452" t="s">
        <v>528</v>
      </c>
      <c r="B470" s="453"/>
      <c r="C470" s="453"/>
      <c r="D470" s="454"/>
      <c r="E470" s="439"/>
      <c r="F470" s="439"/>
      <c r="G470" s="440"/>
      <c r="H470" s="440"/>
      <c r="I470" s="455"/>
      <c r="J470" s="455"/>
    </row>
    <row r="471" spans="1:10" x14ac:dyDescent="0.25">
      <c r="A471" s="448" t="s">
        <v>529</v>
      </c>
      <c r="B471" s="449"/>
      <c r="C471" s="449"/>
      <c r="D471" s="450"/>
      <c r="E471" s="456">
        <v>252217</v>
      </c>
      <c r="F471" s="456"/>
      <c r="G471" s="456"/>
      <c r="H471" s="456"/>
      <c r="I471" s="457"/>
      <c r="J471" s="457"/>
    </row>
    <row r="472" spans="1:10" x14ac:dyDescent="0.25">
      <c r="A472" s="452" t="s">
        <v>530</v>
      </c>
      <c r="B472" s="453"/>
      <c r="C472" s="453"/>
      <c r="D472" s="454"/>
      <c r="E472" s="439"/>
      <c r="F472" s="439"/>
      <c r="G472" s="440"/>
      <c r="H472" s="440"/>
      <c r="I472" s="455"/>
      <c r="J472" s="455"/>
    </row>
    <row r="473" spans="1:10" x14ac:dyDescent="0.25">
      <c r="A473" s="448" t="s">
        <v>531</v>
      </c>
      <c r="B473" s="449"/>
      <c r="C473" s="449"/>
      <c r="D473" s="450"/>
      <c r="E473" s="456"/>
      <c r="F473" s="456"/>
      <c r="G473" s="456"/>
      <c r="H473" s="456"/>
      <c r="I473" s="457"/>
      <c r="J473" s="457"/>
    </row>
    <row r="474" spans="1:10" x14ac:dyDescent="0.25">
      <c r="A474" s="452" t="s">
        <v>532</v>
      </c>
      <c r="B474" s="453"/>
      <c r="C474" s="453"/>
      <c r="D474" s="454"/>
      <c r="E474" s="439"/>
      <c r="F474" s="439"/>
      <c r="G474" s="440"/>
      <c r="H474" s="440"/>
      <c r="I474" s="455"/>
      <c r="J474" s="455"/>
    </row>
    <row r="475" spans="1:10" x14ac:dyDescent="0.25">
      <c r="A475" s="448" t="s">
        <v>537</v>
      </c>
      <c r="B475" s="449"/>
      <c r="C475" s="449"/>
      <c r="D475" s="450"/>
      <c r="E475" s="451"/>
      <c r="F475" s="451"/>
      <c r="G475" s="451"/>
      <c r="H475" s="451"/>
      <c r="I475" s="445"/>
      <c r="J475" s="445"/>
    </row>
    <row r="476" spans="1:10" x14ac:dyDescent="0.25">
      <c r="A476" s="436"/>
      <c r="B476" s="437"/>
      <c r="C476" s="437"/>
      <c r="D476" s="438"/>
      <c r="E476" s="439"/>
      <c r="F476" s="439"/>
      <c r="G476" s="440"/>
      <c r="H476" s="440"/>
      <c r="I476" s="440"/>
      <c r="J476" s="440"/>
    </row>
    <row r="477" spans="1:10" x14ac:dyDescent="0.25">
      <c r="A477" s="436"/>
      <c r="B477" s="437"/>
      <c r="C477" s="437"/>
      <c r="D477" s="438"/>
      <c r="E477" s="439"/>
      <c r="F477" s="439"/>
      <c r="G477" s="440"/>
      <c r="H477" s="440"/>
      <c r="I477" s="440"/>
      <c r="J477" s="440"/>
    </row>
    <row r="478" spans="1:10" x14ac:dyDescent="0.25">
      <c r="A478" s="436"/>
      <c r="B478" s="437"/>
      <c r="C478" s="437"/>
      <c r="D478" s="438"/>
      <c r="E478" s="439"/>
      <c r="F478" s="439"/>
      <c r="G478" s="440"/>
      <c r="H478" s="440"/>
      <c r="I478" s="440"/>
      <c r="J478" s="440"/>
    </row>
    <row r="479" spans="1:10" x14ac:dyDescent="0.25">
      <c r="A479" s="441" t="s">
        <v>534</v>
      </c>
      <c r="B479" s="442"/>
      <c r="C479" s="442"/>
      <c r="D479" s="443"/>
      <c r="E479" s="444">
        <f>SUM(E469:E478)</f>
        <v>252217</v>
      </c>
      <c r="F479" s="444"/>
      <c r="G479" s="444">
        <f>SUM(G469:G478)</f>
        <v>0</v>
      </c>
      <c r="H479" s="444"/>
      <c r="I479" s="444">
        <f>SUM(I469:I478)</f>
        <v>0</v>
      </c>
      <c r="J479" s="444"/>
    </row>
    <row r="480" spans="1:10" x14ac:dyDescent="0.25">
      <c r="A480" s="494" t="s">
        <v>861</v>
      </c>
      <c r="B480" s="495"/>
      <c r="C480" s="495"/>
      <c r="D480" s="495"/>
      <c r="E480" s="495"/>
      <c r="F480" s="495"/>
      <c r="G480" s="495"/>
      <c r="H480" s="495"/>
      <c r="I480" s="495"/>
      <c r="J480" s="496"/>
    </row>
    <row r="481" spans="1:10" x14ac:dyDescent="0.25">
      <c r="A481" s="497" t="s">
        <v>862</v>
      </c>
      <c r="B481" s="498"/>
      <c r="C481" s="498"/>
      <c r="D481" s="498"/>
      <c r="E481" s="498"/>
      <c r="F481" s="498"/>
      <c r="G481" s="498"/>
      <c r="H481" s="498"/>
      <c r="I481" s="498"/>
      <c r="J481" s="499"/>
    </row>
    <row r="482" spans="1:10" x14ac:dyDescent="0.25">
      <c r="A482" s="497" t="s">
        <v>863</v>
      </c>
      <c r="B482" s="498"/>
      <c r="C482" s="498"/>
      <c r="D482" s="498"/>
      <c r="E482" s="498"/>
      <c r="F482" s="498"/>
      <c r="G482" s="498"/>
      <c r="H482" s="498"/>
      <c r="I482" s="498"/>
      <c r="J482" s="499"/>
    </row>
    <row r="483" spans="1:10" x14ac:dyDescent="0.25">
      <c r="A483" s="500" t="s">
        <v>864</v>
      </c>
      <c r="B483" s="501"/>
      <c r="C483" s="501"/>
      <c r="D483" s="501"/>
      <c r="E483" s="501"/>
      <c r="F483" s="501"/>
      <c r="G483" s="501"/>
      <c r="H483" s="501"/>
      <c r="I483" s="501"/>
      <c r="J483" s="502"/>
    </row>
    <row r="484" spans="1:10" x14ac:dyDescent="0.25">
      <c r="A484" s="305" t="s">
        <v>974</v>
      </c>
      <c r="B484" s="486"/>
      <c r="C484" s="486"/>
      <c r="D484" s="486"/>
      <c r="E484" s="486"/>
      <c r="F484" s="486"/>
      <c r="G484" s="486"/>
      <c r="H484" s="486"/>
      <c r="I484" s="486"/>
      <c r="J484" s="487"/>
    </row>
    <row r="485" spans="1:10" x14ac:dyDescent="0.25">
      <c r="A485" s="488"/>
      <c r="B485" s="489"/>
      <c r="C485" s="489"/>
      <c r="D485" s="489"/>
      <c r="E485" s="489"/>
      <c r="F485" s="489"/>
      <c r="G485" s="489"/>
      <c r="H485" s="489"/>
      <c r="I485" s="489"/>
      <c r="J485" s="490"/>
    </row>
    <row r="486" spans="1:10" x14ac:dyDescent="0.25">
      <c r="A486" s="488"/>
      <c r="B486" s="489"/>
      <c r="C486" s="489"/>
      <c r="D486" s="489"/>
      <c r="E486" s="489"/>
      <c r="F486" s="489"/>
      <c r="G486" s="489"/>
      <c r="H486" s="489"/>
      <c r="I486" s="489"/>
      <c r="J486" s="490"/>
    </row>
    <row r="487" spans="1:10" x14ac:dyDescent="0.25">
      <c r="A487" s="488"/>
      <c r="B487" s="489"/>
      <c r="C487" s="489"/>
      <c r="D487" s="489"/>
      <c r="E487" s="489"/>
      <c r="F487" s="489"/>
      <c r="G487" s="489"/>
      <c r="H487" s="489"/>
      <c r="I487" s="489"/>
      <c r="J487" s="490"/>
    </row>
    <row r="488" spans="1:10" x14ac:dyDescent="0.25">
      <c r="A488" s="488"/>
      <c r="B488" s="489"/>
      <c r="C488" s="489"/>
      <c r="D488" s="489"/>
      <c r="E488" s="489"/>
      <c r="F488" s="489"/>
      <c r="G488" s="489"/>
      <c r="H488" s="489"/>
      <c r="I488" s="489"/>
      <c r="J488" s="490"/>
    </row>
    <row r="489" spans="1:10" x14ac:dyDescent="0.25">
      <c r="A489" s="488"/>
      <c r="B489" s="489"/>
      <c r="C489" s="489"/>
      <c r="D489" s="489"/>
      <c r="E489" s="489"/>
      <c r="F489" s="489"/>
      <c r="G489" s="489"/>
      <c r="H489" s="489"/>
      <c r="I489" s="489"/>
      <c r="J489" s="490"/>
    </row>
    <row r="490" spans="1:10" x14ac:dyDescent="0.25">
      <c r="A490" s="488"/>
      <c r="B490" s="489"/>
      <c r="C490" s="489"/>
      <c r="D490" s="489"/>
      <c r="E490" s="489"/>
      <c r="F490" s="489"/>
      <c r="G490" s="489"/>
      <c r="H490" s="489"/>
      <c r="I490" s="489"/>
      <c r="J490" s="490"/>
    </row>
    <row r="491" spans="1:10" x14ac:dyDescent="0.25">
      <c r="A491" s="488"/>
      <c r="B491" s="489"/>
      <c r="C491" s="489"/>
      <c r="D491" s="489"/>
      <c r="E491" s="489"/>
      <c r="F491" s="489"/>
      <c r="G491" s="489"/>
      <c r="H491" s="489"/>
      <c r="I491" s="489"/>
      <c r="J491" s="490"/>
    </row>
    <row r="492" spans="1:10" x14ac:dyDescent="0.25">
      <c r="A492" s="488"/>
      <c r="B492" s="489"/>
      <c r="C492" s="489"/>
      <c r="D492" s="489"/>
      <c r="E492" s="489"/>
      <c r="F492" s="489"/>
      <c r="G492" s="489"/>
      <c r="H492" s="489"/>
      <c r="I492" s="489"/>
      <c r="J492" s="490"/>
    </row>
    <row r="493" spans="1:10" x14ac:dyDescent="0.25">
      <c r="A493" s="488"/>
      <c r="B493" s="489"/>
      <c r="C493" s="489"/>
      <c r="D493" s="489"/>
      <c r="E493" s="489"/>
      <c r="F493" s="489"/>
      <c r="G493" s="489"/>
      <c r="H493" s="489"/>
      <c r="I493" s="489"/>
      <c r="J493" s="490"/>
    </row>
    <row r="494" spans="1:10" x14ac:dyDescent="0.25">
      <c r="A494" s="488"/>
      <c r="B494" s="489"/>
      <c r="C494" s="489"/>
      <c r="D494" s="489"/>
      <c r="E494" s="489"/>
      <c r="F494" s="489"/>
      <c r="G494" s="489"/>
      <c r="H494" s="489"/>
      <c r="I494" s="489"/>
      <c r="J494" s="490"/>
    </row>
    <row r="495" spans="1:10" x14ac:dyDescent="0.25">
      <c r="A495" s="488"/>
      <c r="B495" s="489"/>
      <c r="C495" s="489"/>
      <c r="D495" s="489"/>
      <c r="E495" s="489"/>
      <c r="F495" s="489"/>
      <c r="G495" s="489"/>
      <c r="H495" s="489"/>
      <c r="I495" s="489"/>
      <c r="J495" s="490"/>
    </row>
    <row r="496" spans="1:10" x14ac:dyDescent="0.25">
      <c r="A496" s="488"/>
      <c r="B496" s="489"/>
      <c r="C496" s="489"/>
      <c r="D496" s="489"/>
      <c r="E496" s="489"/>
      <c r="F496" s="489"/>
      <c r="G496" s="489"/>
      <c r="H496" s="489"/>
      <c r="I496" s="489"/>
      <c r="J496" s="490"/>
    </row>
    <row r="497" spans="1:10" x14ac:dyDescent="0.25">
      <c r="A497" s="488"/>
      <c r="B497" s="489"/>
      <c r="C497" s="489"/>
      <c r="D497" s="489"/>
      <c r="E497" s="489"/>
      <c r="F497" s="489"/>
      <c r="G497" s="489"/>
      <c r="H497" s="489"/>
      <c r="I497" s="489"/>
      <c r="J497" s="490"/>
    </row>
    <row r="498" spans="1:10" x14ac:dyDescent="0.25">
      <c r="A498" s="488"/>
      <c r="B498" s="489"/>
      <c r="C498" s="489"/>
      <c r="D498" s="489"/>
      <c r="E498" s="489"/>
      <c r="F498" s="489"/>
      <c r="G498" s="489"/>
      <c r="H498" s="489"/>
      <c r="I498" s="489"/>
      <c r="J498" s="490"/>
    </row>
    <row r="499" spans="1:10" x14ac:dyDescent="0.25">
      <c r="A499" s="488"/>
      <c r="B499" s="489"/>
      <c r="C499" s="489"/>
      <c r="D499" s="489"/>
      <c r="E499" s="489"/>
      <c r="F499" s="489"/>
      <c r="G499" s="489"/>
      <c r="H499" s="489"/>
      <c r="I499" s="489"/>
      <c r="J499" s="490"/>
    </row>
    <row r="500" spans="1:10" x14ac:dyDescent="0.25">
      <c r="A500" s="488"/>
      <c r="B500" s="489"/>
      <c r="C500" s="489"/>
      <c r="D500" s="489"/>
      <c r="E500" s="489"/>
      <c r="F500" s="489"/>
      <c r="G500" s="489"/>
      <c r="H500" s="489"/>
      <c r="I500" s="489"/>
      <c r="J500" s="490"/>
    </row>
    <row r="501" spans="1:10" x14ac:dyDescent="0.25">
      <c r="A501" s="488"/>
      <c r="B501" s="489"/>
      <c r="C501" s="489"/>
      <c r="D501" s="489"/>
      <c r="E501" s="489"/>
      <c r="F501" s="489"/>
      <c r="G501" s="489"/>
      <c r="H501" s="489"/>
      <c r="I501" s="489"/>
      <c r="J501" s="490"/>
    </row>
    <row r="502" spans="1:10" x14ac:dyDescent="0.25">
      <c r="A502" s="488"/>
      <c r="B502" s="489"/>
      <c r="C502" s="489"/>
      <c r="D502" s="489"/>
      <c r="E502" s="489"/>
      <c r="F502" s="489"/>
      <c r="G502" s="489"/>
      <c r="H502" s="489"/>
      <c r="I502" s="489"/>
      <c r="J502" s="490"/>
    </row>
    <row r="503" spans="1:10" x14ac:dyDescent="0.25">
      <c r="A503" s="488"/>
      <c r="B503" s="489"/>
      <c r="C503" s="489"/>
      <c r="D503" s="489"/>
      <c r="E503" s="489"/>
      <c r="F503" s="489"/>
      <c r="G503" s="489"/>
      <c r="H503" s="489"/>
      <c r="I503" s="489"/>
      <c r="J503" s="490"/>
    </row>
    <row r="504" spans="1:10" x14ac:dyDescent="0.25">
      <c r="A504" s="488"/>
      <c r="B504" s="489"/>
      <c r="C504" s="489"/>
      <c r="D504" s="489"/>
      <c r="E504" s="489"/>
      <c r="F504" s="489"/>
      <c r="G504" s="489"/>
      <c r="H504" s="489"/>
      <c r="I504" s="489"/>
      <c r="J504" s="490"/>
    </row>
    <row r="505" spans="1:10" x14ac:dyDescent="0.25">
      <c r="A505" s="488"/>
      <c r="B505" s="489"/>
      <c r="C505" s="489"/>
      <c r="D505" s="489"/>
      <c r="E505" s="489"/>
      <c r="F505" s="489"/>
      <c r="G505" s="489"/>
      <c r="H505" s="489"/>
      <c r="I505" s="489"/>
      <c r="J505" s="490"/>
    </row>
    <row r="506" spans="1:10" x14ac:dyDescent="0.25">
      <c r="A506" s="488"/>
      <c r="B506" s="489"/>
      <c r="C506" s="489"/>
      <c r="D506" s="489"/>
      <c r="E506" s="489"/>
      <c r="F506" s="489"/>
      <c r="G506" s="489"/>
      <c r="H506" s="489"/>
      <c r="I506" s="489"/>
      <c r="J506" s="490"/>
    </row>
    <row r="507" spans="1:10" x14ac:dyDescent="0.25">
      <c r="A507" s="488"/>
      <c r="B507" s="489"/>
      <c r="C507" s="489"/>
      <c r="D507" s="489"/>
      <c r="E507" s="489"/>
      <c r="F507" s="489"/>
      <c r="G507" s="489"/>
      <c r="H507" s="489"/>
      <c r="I507" s="489"/>
      <c r="J507" s="490"/>
    </row>
    <row r="508" spans="1:10" x14ac:dyDescent="0.25">
      <c r="A508" s="488"/>
      <c r="B508" s="489"/>
      <c r="C508" s="489"/>
      <c r="D508" s="489"/>
      <c r="E508" s="489"/>
      <c r="F508" s="489"/>
      <c r="G508" s="489"/>
      <c r="H508" s="489"/>
      <c r="I508" s="489"/>
      <c r="J508" s="490"/>
    </row>
    <row r="509" spans="1:10" x14ac:dyDescent="0.25">
      <c r="A509" s="488"/>
      <c r="B509" s="489"/>
      <c r="C509" s="489"/>
      <c r="D509" s="489"/>
      <c r="E509" s="489"/>
      <c r="F509" s="489"/>
      <c r="G509" s="489"/>
      <c r="H509" s="489"/>
      <c r="I509" s="489"/>
      <c r="J509" s="490"/>
    </row>
    <row r="510" spans="1:10" x14ac:dyDescent="0.25">
      <c r="A510" s="488"/>
      <c r="B510" s="489"/>
      <c r="C510" s="489"/>
      <c r="D510" s="489"/>
      <c r="E510" s="489"/>
      <c r="F510" s="489"/>
      <c r="G510" s="489"/>
      <c r="H510" s="489"/>
      <c r="I510" s="489"/>
      <c r="J510" s="490"/>
    </row>
    <row r="511" spans="1:10" x14ac:dyDescent="0.25">
      <c r="A511" s="488"/>
      <c r="B511" s="489"/>
      <c r="C511" s="489"/>
      <c r="D511" s="489"/>
      <c r="E511" s="489"/>
      <c r="F511" s="489"/>
      <c r="G511" s="489"/>
      <c r="H511" s="489"/>
      <c r="I511" s="489"/>
      <c r="J511" s="490"/>
    </row>
    <row r="512" spans="1:10" x14ac:dyDescent="0.25">
      <c r="A512" s="488"/>
      <c r="B512" s="489"/>
      <c r="C512" s="489"/>
      <c r="D512" s="489"/>
      <c r="E512" s="489"/>
      <c r="F512" s="489"/>
      <c r="G512" s="489"/>
      <c r="H512" s="489"/>
      <c r="I512" s="489"/>
      <c r="J512" s="490"/>
    </row>
    <row r="513" spans="1:10" x14ac:dyDescent="0.25">
      <c r="A513" s="488"/>
      <c r="B513" s="489"/>
      <c r="C513" s="489"/>
      <c r="D513" s="489"/>
      <c r="E513" s="489"/>
      <c r="F513" s="489"/>
      <c r="G513" s="489"/>
      <c r="H513" s="489"/>
      <c r="I513" s="489"/>
      <c r="J513" s="490"/>
    </row>
    <row r="514" spans="1:10" x14ac:dyDescent="0.25">
      <c r="A514" s="488"/>
      <c r="B514" s="489"/>
      <c r="C514" s="489"/>
      <c r="D514" s="489"/>
      <c r="E514" s="489"/>
      <c r="F514" s="489"/>
      <c r="G514" s="489"/>
      <c r="H514" s="489"/>
      <c r="I514" s="489"/>
      <c r="J514" s="490"/>
    </row>
    <row r="515" spans="1:10" x14ac:dyDescent="0.25">
      <c r="A515" s="488"/>
      <c r="B515" s="489"/>
      <c r="C515" s="489"/>
      <c r="D515" s="489"/>
      <c r="E515" s="489"/>
      <c r="F515" s="489"/>
      <c r="G515" s="489"/>
      <c r="H515" s="489"/>
      <c r="I515" s="489"/>
      <c r="J515" s="490"/>
    </row>
    <row r="516" spans="1:10" x14ac:dyDescent="0.25">
      <c r="A516" s="488"/>
      <c r="B516" s="489"/>
      <c r="C516" s="489"/>
      <c r="D516" s="489"/>
      <c r="E516" s="489"/>
      <c r="F516" s="489"/>
      <c r="G516" s="489"/>
      <c r="H516" s="489"/>
      <c r="I516" s="489"/>
      <c r="J516" s="490"/>
    </row>
    <row r="517" spans="1:10" x14ac:dyDescent="0.25">
      <c r="A517" s="488"/>
      <c r="B517" s="489"/>
      <c r="C517" s="489"/>
      <c r="D517" s="489"/>
      <c r="E517" s="489"/>
      <c r="F517" s="489"/>
      <c r="G517" s="489"/>
      <c r="H517" s="489"/>
      <c r="I517" s="489"/>
      <c r="J517" s="490"/>
    </row>
    <row r="518" spans="1:10" x14ac:dyDescent="0.25">
      <c r="A518" s="491"/>
      <c r="B518" s="492"/>
      <c r="C518" s="492"/>
      <c r="D518" s="492"/>
      <c r="E518" s="492"/>
      <c r="F518" s="492"/>
      <c r="G518" s="492"/>
      <c r="H518" s="492"/>
      <c r="I518" s="492"/>
      <c r="J518" s="493"/>
    </row>
    <row r="520" spans="1:10" ht="15.6" x14ac:dyDescent="0.3">
      <c r="A520" s="355" t="s">
        <v>848</v>
      </c>
      <c r="B520" s="356"/>
      <c r="C520" s="356"/>
      <c r="D520" s="356"/>
      <c r="E520" s="356"/>
      <c r="F520" s="356"/>
      <c r="G520" s="356"/>
      <c r="H520" s="353" t="str">
        <f>'CONTACT INFORMATION'!$A$24</f>
        <v>Alameda</v>
      </c>
      <c r="I520" s="353"/>
      <c r="J520" s="354"/>
    </row>
    <row r="521" spans="1:10" ht="8.1" customHeight="1" x14ac:dyDescent="0.25">
      <c r="A521" s="163"/>
      <c r="B521" s="163"/>
      <c r="C521" s="163"/>
      <c r="D521" s="163"/>
      <c r="E521" s="163"/>
      <c r="F521" s="163"/>
      <c r="G521" s="163"/>
      <c r="H521" s="163"/>
      <c r="I521" s="163"/>
      <c r="J521" s="163"/>
    </row>
    <row r="522" spans="1:10" ht="13.8" x14ac:dyDescent="0.25">
      <c r="A522" s="466" t="s">
        <v>858</v>
      </c>
      <c r="B522" s="467"/>
      <c r="C522" s="467"/>
      <c r="D522" s="467"/>
      <c r="E522" s="467"/>
      <c r="F522" s="467"/>
      <c r="G522" s="467"/>
      <c r="H522" s="467"/>
      <c r="I522" s="467"/>
      <c r="J522" s="468"/>
    </row>
    <row r="523" spans="1:10" ht="12.75" customHeight="1" x14ac:dyDescent="0.25">
      <c r="A523" s="463" t="s">
        <v>854</v>
      </c>
      <c r="B523" s="464"/>
      <c r="C523" s="464"/>
      <c r="D523" s="465"/>
      <c r="E523" s="544" t="s">
        <v>945</v>
      </c>
      <c r="F523" s="545"/>
      <c r="G523" s="545"/>
      <c r="H523" s="545"/>
      <c r="I523" s="545"/>
      <c r="J523" s="546"/>
    </row>
    <row r="524" spans="1:10" ht="12.75" customHeight="1" x14ac:dyDescent="0.25">
      <c r="A524" s="503" t="s">
        <v>853</v>
      </c>
      <c r="B524" s="504"/>
      <c r="C524" s="504"/>
      <c r="D524" s="505"/>
      <c r="E524" s="547"/>
      <c r="F524" s="548"/>
      <c r="G524" s="548"/>
      <c r="H524" s="548"/>
      <c r="I524" s="548"/>
      <c r="J524" s="549"/>
    </row>
    <row r="525" spans="1:10" x14ac:dyDescent="0.25">
      <c r="A525" s="541" t="s">
        <v>808</v>
      </c>
      <c r="B525" s="542"/>
      <c r="C525" s="542"/>
      <c r="D525" s="543"/>
      <c r="E525" s="550" t="s">
        <v>510</v>
      </c>
      <c r="F525" s="551"/>
      <c r="G525" s="551"/>
      <c r="H525" s="551"/>
      <c r="I525" s="551"/>
      <c r="J525" s="552"/>
    </row>
    <row r="526" spans="1:10" ht="27" customHeight="1" x14ac:dyDescent="0.25">
      <c r="A526" s="157"/>
      <c r="B526" s="208"/>
      <c r="C526" s="208"/>
      <c r="D526" s="208"/>
      <c r="E526" s="482" t="s">
        <v>535</v>
      </c>
      <c r="F526" s="483"/>
      <c r="G526" s="482" t="s">
        <v>533</v>
      </c>
      <c r="H526" s="483"/>
      <c r="I526" s="484" t="s">
        <v>849</v>
      </c>
      <c r="J526" s="485"/>
    </row>
    <row r="527" spans="1:10" x14ac:dyDescent="0.25">
      <c r="A527" s="448" t="s">
        <v>527</v>
      </c>
      <c r="B527" s="449"/>
      <c r="C527" s="449"/>
      <c r="D527" s="450"/>
      <c r="E527" s="456"/>
      <c r="F527" s="456"/>
      <c r="G527" s="456"/>
      <c r="H527" s="456"/>
      <c r="I527" s="457"/>
      <c r="J527" s="457"/>
    </row>
    <row r="528" spans="1:10" x14ac:dyDescent="0.25">
      <c r="A528" s="452" t="s">
        <v>528</v>
      </c>
      <c r="B528" s="453"/>
      <c r="C528" s="453"/>
      <c r="D528" s="454"/>
      <c r="E528" s="439"/>
      <c r="F528" s="439"/>
      <c r="G528" s="440"/>
      <c r="H528" s="440"/>
      <c r="I528" s="455"/>
      <c r="J528" s="455"/>
    </row>
    <row r="529" spans="1:10" x14ac:dyDescent="0.25">
      <c r="A529" s="448" t="s">
        <v>529</v>
      </c>
      <c r="B529" s="449"/>
      <c r="C529" s="449"/>
      <c r="D529" s="450"/>
      <c r="E529" s="456">
        <v>112230</v>
      </c>
      <c r="F529" s="456"/>
      <c r="G529" s="456"/>
      <c r="H529" s="456"/>
      <c r="I529" s="457"/>
      <c r="J529" s="457"/>
    </row>
    <row r="530" spans="1:10" x14ac:dyDescent="0.25">
      <c r="A530" s="452" t="s">
        <v>530</v>
      </c>
      <c r="B530" s="453"/>
      <c r="C530" s="453"/>
      <c r="D530" s="454"/>
      <c r="E530" s="439"/>
      <c r="F530" s="439"/>
      <c r="G530" s="440"/>
      <c r="H530" s="440"/>
      <c r="I530" s="455"/>
      <c r="J530" s="455"/>
    </row>
    <row r="531" spans="1:10" x14ac:dyDescent="0.25">
      <c r="A531" s="448" t="s">
        <v>531</v>
      </c>
      <c r="B531" s="449"/>
      <c r="C531" s="449"/>
      <c r="D531" s="450"/>
      <c r="E531" s="456"/>
      <c r="F531" s="456"/>
      <c r="G531" s="456"/>
      <c r="H531" s="456"/>
      <c r="I531" s="457"/>
      <c r="J531" s="457"/>
    </row>
    <row r="532" spans="1:10" x14ac:dyDescent="0.25">
      <c r="A532" s="452" t="s">
        <v>532</v>
      </c>
      <c r="B532" s="453"/>
      <c r="C532" s="453"/>
      <c r="D532" s="454"/>
      <c r="E532" s="439"/>
      <c r="F532" s="439"/>
      <c r="G532" s="440"/>
      <c r="H532" s="440"/>
      <c r="I532" s="455"/>
      <c r="J532" s="455"/>
    </row>
    <row r="533" spans="1:10" x14ac:dyDescent="0.25">
      <c r="A533" s="448" t="s">
        <v>537</v>
      </c>
      <c r="B533" s="449"/>
      <c r="C533" s="449"/>
      <c r="D533" s="450"/>
      <c r="E533" s="451"/>
      <c r="F533" s="451"/>
      <c r="G533" s="451"/>
      <c r="H533" s="451"/>
      <c r="I533" s="445"/>
      <c r="J533" s="445"/>
    </row>
    <row r="534" spans="1:10" x14ac:dyDescent="0.25">
      <c r="A534" s="436"/>
      <c r="B534" s="437"/>
      <c r="C534" s="437"/>
      <c r="D534" s="438"/>
      <c r="E534" s="439"/>
      <c r="F534" s="439"/>
      <c r="G534" s="440"/>
      <c r="H534" s="440"/>
      <c r="I534" s="440"/>
      <c r="J534" s="440"/>
    </row>
    <row r="535" spans="1:10" x14ac:dyDescent="0.25">
      <c r="A535" s="436"/>
      <c r="B535" s="437"/>
      <c r="C535" s="437"/>
      <c r="D535" s="438"/>
      <c r="E535" s="439"/>
      <c r="F535" s="439"/>
      <c r="G535" s="440"/>
      <c r="H535" s="440"/>
      <c r="I535" s="440"/>
      <c r="J535" s="440"/>
    </row>
    <row r="536" spans="1:10" x14ac:dyDescent="0.25">
      <c r="A536" s="436"/>
      <c r="B536" s="437"/>
      <c r="C536" s="437"/>
      <c r="D536" s="438"/>
      <c r="E536" s="439"/>
      <c r="F536" s="439"/>
      <c r="G536" s="440"/>
      <c r="H536" s="440"/>
      <c r="I536" s="440"/>
      <c r="J536" s="440"/>
    </row>
    <row r="537" spans="1:10" x14ac:dyDescent="0.25">
      <c r="A537" s="441" t="s">
        <v>534</v>
      </c>
      <c r="B537" s="442"/>
      <c r="C537" s="442"/>
      <c r="D537" s="443"/>
      <c r="E537" s="444">
        <f>SUM(E527:E536)</f>
        <v>112230</v>
      </c>
      <c r="F537" s="444"/>
      <c r="G537" s="444">
        <f>SUM(G527:G536)</f>
        <v>0</v>
      </c>
      <c r="H537" s="444"/>
      <c r="I537" s="444">
        <f>SUM(I527:I536)</f>
        <v>0</v>
      </c>
      <c r="J537" s="444"/>
    </row>
    <row r="538" spans="1:10" ht="12.75" customHeight="1" x14ac:dyDescent="0.25">
      <c r="A538" s="494" t="s">
        <v>861</v>
      </c>
      <c r="B538" s="495"/>
      <c r="C538" s="495"/>
      <c r="D538" s="495"/>
      <c r="E538" s="495"/>
      <c r="F538" s="495"/>
      <c r="G538" s="495"/>
      <c r="H538" s="495"/>
      <c r="I538" s="495"/>
      <c r="J538" s="496"/>
    </row>
    <row r="539" spans="1:10" ht="12.75" customHeight="1" x14ac:dyDescent="0.25">
      <c r="A539" s="497" t="s">
        <v>862</v>
      </c>
      <c r="B539" s="498"/>
      <c r="C539" s="498"/>
      <c r="D539" s="498"/>
      <c r="E539" s="498"/>
      <c r="F539" s="498"/>
      <c r="G539" s="498"/>
      <c r="H539" s="498"/>
      <c r="I539" s="498"/>
      <c r="J539" s="499"/>
    </row>
    <row r="540" spans="1:10" ht="12.75" customHeight="1" x14ac:dyDescent="0.25">
      <c r="A540" s="497" t="s">
        <v>863</v>
      </c>
      <c r="B540" s="498"/>
      <c r="C540" s="498"/>
      <c r="D540" s="498"/>
      <c r="E540" s="498"/>
      <c r="F540" s="498"/>
      <c r="G540" s="498"/>
      <c r="H540" s="498"/>
      <c r="I540" s="498"/>
      <c r="J540" s="499"/>
    </row>
    <row r="541" spans="1:10" ht="12.75" customHeight="1" x14ac:dyDescent="0.25">
      <c r="A541" s="500" t="s">
        <v>864</v>
      </c>
      <c r="B541" s="501"/>
      <c r="C541" s="501"/>
      <c r="D541" s="501"/>
      <c r="E541" s="501"/>
      <c r="F541" s="501"/>
      <c r="G541" s="501"/>
      <c r="H541" s="501"/>
      <c r="I541" s="501"/>
      <c r="J541" s="502"/>
    </row>
    <row r="542" spans="1:10" x14ac:dyDescent="0.25">
      <c r="A542" s="305" t="s">
        <v>975</v>
      </c>
      <c r="B542" s="486"/>
      <c r="C542" s="486"/>
      <c r="D542" s="486"/>
      <c r="E542" s="486"/>
      <c r="F542" s="486"/>
      <c r="G542" s="486"/>
      <c r="H542" s="486"/>
      <c r="I542" s="486"/>
      <c r="J542" s="487"/>
    </row>
    <row r="543" spans="1:10" x14ac:dyDescent="0.25">
      <c r="A543" s="488"/>
      <c r="B543" s="489"/>
      <c r="C543" s="489"/>
      <c r="D543" s="489"/>
      <c r="E543" s="489"/>
      <c r="F543" s="489"/>
      <c r="G543" s="489"/>
      <c r="H543" s="489"/>
      <c r="I543" s="489"/>
      <c r="J543" s="490"/>
    </row>
    <row r="544" spans="1:10" x14ac:dyDescent="0.25">
      <c r="A544" s="488"/>
      <c r="B544" s="489"/>
      <c r="C544" s="489"/>
      <c r="D544" s="489"/>
      <c r="E544" s="489"/>
      <c r="F544" s="489"/>
      <c r="G544" s="489"/>
      <c r="H544" s="489"/>
      <c r="I544" s="489"/>
      <c r="J544" s="490"/>
    </row>
    <row r="545" spans="1:10" x14ac:dyDescent="0.25">
      <c r="A545" s="488"/>
      <c r="B545" s="489"/>
      <c r="C545" s="489"/>
      <c r="D545" s="489"/>
      <c r="E545" s="489"/>
      <c r="F545" s="489"/>
      <c r="G545" s="489"/>
      <c r="H545" s="489"/>
      <c r="I545" s="489"/>
      <c r="J545" s="490"/>
    </row>
    <row r="546" spans="1:10" x14ac:dyDescent="0.25">
      <c r="A546" s="488"/>
      <c r="B546" s="489"/>
      <c r="C546" s="489"/>
      <c r="D546" s="489"/>
      <c r="E546" s="489"/>
      <c r="F546" s="489"/>
      <c r="G546" s="489"/>
      <c r="H546" s="489"/>
      <c r="I546" s="489"/>
      <c r="J546" s="490"/>
    </row>
    <row r="547" spans="1:10" x14ac:dyDescent="0.25">
      <c r="A547" s="488"/>
      <c r="B547" s="489"/>
      <c r="C547" s="489"/>
      <c r="D547" s="489"/>
      <c r="E547" s="489"/>
      <c r="F547" s="489"/>
      <c r="G547" s="489"/>
      <c r="H547" s="489"/>
      <c r="I547" s="489"/>
      <c r="J547" s="490"/>
    </row>
    <row r="548" spans="1:10" x14ac:dyDescent="0.25">
      <c r="A548" s="488"/>
      <c r="B548" s="489"/>
      <c r="C548" s="489"/>
      <c r="D548" s="489"/>
      <c r="E548" s="489"/>
      <c r="F548" s="489"/>
      <c r="G548" s="489"/>
      <c r="H548" s="489"/>
      <c r="I548" s="489"/>
      <c r="J548" s="490"/>
    </row>
    <row r="549" spans="1:10" x14ac:dyDescent="0.25">
      <c r="A549" s="488"/>
      <c r="B549" s="489"/>
      <c r="C549" s="489"/>
      <c r="D549" s="489"/>
      <c r="E549" s="489"/>
      <c r="F549" s="489"/>
      <c r="G549" s="489"/>
      <c r="H549" s="489"/>
      <c r="I549" s="489"/>
      <c r="J549" s="490"/>
    </row>
    <row r="550" spans="1:10" x14ac:dyDescent="0.25">
      <c r="A550" s="488"/>
      <c r="B550" s="489"/>
      <c r="C550" s="489"/>
      <c r="D550" s="489"/>
      <c r="E550" s="489"/>
      <c r="F550" s="489"/>
      <c r="G550" s="489"/>
      <c r="H550" s="489"/>
      <c r="I550" s="489"/>
      <c r="J550" s="490"/>
    </row>
    <row r="551" spans="1:10" x14ac:dyDescent="0.25">
      <c r="A551" s="488"/>
      <c r="B551" s="489"/>
      <c r="C551" s="489"/>
      <c r="D551" s="489"/>
      <c r="E551" s="489"/>
      <c r="F551" s="489"/>
      <c r="G551" s="489"/>
      <c r="H551" s="489"/>
      <c r="I551" s="489"/>
      <c r="J551" s="490"/>
    </row>
    <row r="552" spans="1:10" x14ac:dyDescent="0.25">
      <c r="A552" s="488"/>
      <c r="B552" s="489"/>
      <c r="C552" s="489"/>
      <c r="D552" s="489"/>
      <c r="E552" s="489"/>
      <c r="F552" s="489"/>
      <c r="G552" s="489"/>
      <c r="H552" s="489"/>
      <c r="I552" s="489"/>
      <c r="J552" s="490"/>
    </row>
    <row r="553" spans="1:10" x14ac:dyDescent="0.25">
      <c r="A553" s="488"/>
      <c r="B553" s="489"/>
      <c r="C553" s="489"/>
      <c r="D553" s="489"/>
      <c r="E553" s="489"/>
      <c r="F553" s="489"/>
      <c r="G553" s="489"/>
      <c r="H553" s="489"/>
      <c r="I553" s="489"/>
      <c r="J553" s="490"/>
    </row>
    <row r="554" spans="1:10" x14ac:dyDescent="0.25">
      <c r="A554" s="488"/>
      <c r="B554" s="489"/>
      <c r="C554" s="489"/>
      <c r="D554" s="489"/>
      <c r="E554" s="489"/>
      <c r="F554" s="489"/>
      <c r="G554" s="489"/>
      <c r="H554" s="489"/>
      <c r="I554" s="489"/>
      <c r="J554" s="490"/>
    </row>
    <row r="555" spans="1:10" x14ac:dyDescent="0.25">
      <c r="A555" s="488"/>
      <c r="B555" s="489"/>
      <c r="C555" s="489"/>
      <c r="D555" s="489"/>
      <c r="E555" s="489"/>
      <c r="F555" s="489"/>
      <c r="G555" s="489"/>
      <c r="H555" s="489"/>
      <c r="I555" s="489"/>
      <c r="J555" s="490"/>
    </row>
    <row r="556" spans="1:10" x14ac:dyDescent="0.25">
      <c r="A556" s="488"/>
      <c r="B556" s="489"/>
      <c r="C556" s="489"/>
      <c r="D556" s="489"/>
      <c r="E556" s="489"/>
      <c r="F556" s="489"/>
      <c r="G556" s="489"/>
      <c r="H556" s="489"/>
      <c r="I556" s="489"/>
      <c r="J556" s="490"/>
    </row>
    <row r="557" spans="1:10" x14ac:dyDescent="0.25">
      <c r="A557" s="488"/>
      <c r="B557" s="489"/>
      <c r="C557" s="489"/>
      <c r="D557" s="489"/>
      <c r="E557" s="489"/>
      <c r="F557" s="489"/>
      <c r="G557" s="489"/>
      <c r="H557" s="489"/>
      <c r="I557" s="489"/>
      <c r="J557" s="490"/>
    </row>
    <row r="558" spans="1:10" x14ac:dyDescent="0.25">
      <c r="A558" s="488"/>
      <c r="B558" s="489"/>
      <c r="C558" s="489"/>
      <c r="D558" s="489"/>
      <c r="E558" s="489"/>
      <c r="F558" s="489"/>
      <c r="G558" s="489"/>
      <c r="H558" s="489"/>
      <c r="I558" s="489"/>
      <c r="J558" s="490"/>
    </row>
    <row r="559" spans="1:10" x14ac:dyDescent="0.25">
      <c r="A559" s="488"/>
      <c r="B559" s="489"/>
      <c r="C559" s="489"/>
      <c r="D559" s="489"/>
      <c r="E559" s="489"/>
      <c r="F559" s="489"/>
      <c r="G559" s="489"/>
      <c r="H559" s="489"/>
      <c r="I559" s="489"/>
      <c r="J559" s="490"/>
    </row>
    <row r="560" spans="1:10" x14ac:dyDescent="0.25">
      <c r="A560" s="488"/>
      <c r="B560" s="489"/>
      <c r="C560" s="489"/>
      <c r="D560" s="489"/>
      <c r="E560" s="489"/>
      <c r="F560" s="489"/>
      <c r="G560" s="489"/>
      <c r="H560" s="489"/>
      <c r="I560" s="489"/>
      <c r="J560" s="490"/>
    </row>
    <row r="561" spans="1:10" x14ac:dyDescent="0.25">
      <c r="A561" s="488"/>
      <c r="B561" s="489"/>
      <c r="C561" s="489"/>
      <c r="D561" s="489"/>
      <c r="E561" s="489"/>
      <c r="F561" s="489"/>
      <c r="G561" s="489"/>
      <c r="H561" s="489"/>
      <c r="I561" s="489"/>
      <c r="J561" s="490"/>
    </row>
    <row r="562" spans="1:10" x14ac:dyDescent="0.25">
      <c r="A562" s="488"/>
      <c r="B562" s="489"/>
      <c r="C562" s="489"/>
      <c r="D562" s="489"/>
      <c r="E562" s="489"/>
      <c r="F562" s="489"/>
      <c r="G562" s="489"/>
      <c r="H562" s="489"/>
      <c r="I562" s="489"/>
      <c r="J562" s="490"/>
    </row>
    <row r="563" spans="1:10" x14ac:dyDescent="0.25">
      <c r="A563" s="488"/>
      <c r="B563" s="489"/>
      <c r="C563" s="489"/>
      <c r="D563" s="489"/>
      <c r="E563" s="489"/>
      <c r="F563" s="489"/>
      <c r="G563" s="489"/>
      <c r="H563" s="489"/>
      <c r="I563" s="489"/>
      <c r="J563" s="490"/>
    </row>
    <row r="564" spans="1:10" x14ac:dyDescent="0.25">
      <c r="A564" s="488"/>
      <c r="B564" s="489"/>
      <c r="C564" s="489"/>
      <c r="D564" s="489"/>
      <c r="E564" s="489"/>
      <c r="F564" s="489"/>
      <c r="G564" s="489"/>
      <c r="H564" s="489"/>
      <c r="I564" s="489"/>
      <c r="J564" s="490"/>
    </row>
    <row r="565" spans="1:10" x14ac:dyDescent="0.25">
      <c r="A565" s="488"/>
      <c r="B565" s="489"/>
      <c r="C565" s="489"/>
      <c r="D565" s="489"/>
      <c r="E565" s="489"/>
      <c r="F565" s="489"/>
      <c r="G565" s="489"/>
      <c r="H565" s="489"/>
      <c r="I565" s="489"/>
      <c r="J565" s="490"/>
    </row>
    <row r="566" spans="1:10" x14ac:dyDescent="0.25">
      <c r="A566" s="488"/>
      <c r="B566" s="489"/>
      <c r="C566" s="489"/>
      <c r="D566" s="489"/>
      <c r="E566" s="489"/>
      <c r="F566" s="489"/>
      <c r="G566" s="489"/>
      <c r="H566" s="489"/>
      <c r="I566" s="489"/>
      <c r="J566" s="490"/>
    </row>
    <row r="567" spans="1:10" x14ac:dyDescent="0.25">
      <c r="A567" s="488"/>
      <c r="B567" s="489"/>
      <c r="C567" s="489"/>
      <c r="D567" s="489"/>
      <c r="E567" s="489"/>
      <c r="F567" s="489"/>
      <c r="G567" s="489"/>
      <c r="H567" s="489"/>
      <c r="I567" s="489"/>
      <c r="J567" s="490"/>
    </row>
    <row r="568" spans="1:10" x14ac:dyDescent="0.25">
      <c r="A568" s="488"/>
      <c r="B568" s="489"/>
      <c r="C568" s="489"/>
      <c r="D568" s="489"/>
      <c r="E568" s="489"/>
      <c r="F568" s="489"/>
      <c r="G568" s="489"/>
      <c r="H568" s="489"/>
      <c r="I568" s="489"/>
      <c r="J568" s="490"/>
    </row>
    <row r="569" spans="1:10" x14ac:dyDescent="0.25">
      <c r="A569" s="488"/>
      <c r="B569" s="489"/>
      <c r="C569" s="489"/>
      <c r="D569" s="489"/>
      <c r="E569" s="489"/>
      <c r="F569" s="489"/>
      <c r="G569" s="489"/>
      <c r="H569" s="489"/>
      <c r="I569" s="489"/>
      <c r="J569" s="490"/>
    </row>
    <row r="570" spans="1:10" x14ac:dyDescent="0.25">
      <c r="A570" s="488"/>
      <c r="B570" s="489"/>
      <c r="C570" s="489"/>
      <c r="D570" s="489"/>
      <c r="E570" s="489"/>
      <c r="F570" s="489"/>
      <c r="G570" s="489"/>
      <c r="H570" s="489"/>
      <c r="I570" s="489"/>
      <c r="J570" s="490"/>
    </row>
    <row r="571" spans="1:10" x14ac:dyDescent="0.25">
      <c r="A571" s="488"/>
      <c r="B571" s="489"/>
      <c r="C571" s="489"/>
      <c r="D571" s="489"/>
      <c r="E571" s="489"/>
      <c r="F571" s="489"/>
      <c r="G571" s="489"/>
      <c r="H571" s="489"/>
      <c r="I571" s="489"/>
      <c r="J571" s="490"/>
    </row>
    <row r="572" spans="1:10" x14ac:dyDescent="0.25">
      <c r="A572" s="488"/>
      <c r="B572" s="489"/>
      <c r="C572" s="489"/>
      <c r="D572" s="489"/>
      <c r="E572" s="489"/>
      <c r="F572" s="489"/>
      <c r="G572" s="489"/>
      <c r="H572" s="489"/>
      <c r="I572" s="489"/>
      <c r="J572" s="490"/>
    </row>
    <row r="573" spans="1:10" x14ac:dyDescent="0.25">
      <c r="A573" s="488"/>
      <c r="B573" s="489"/>
      <c r="C573" s="489"/>
      <c r="D573" s="489"/>
      <c r="E573" s="489"/>
      <c r="F573" s="489"/>
      <c r="G573" s="489"/>
      <c r="H573" s="489"/>
      <c r="I573" s="489"/>
      <c r="J573" s="490"/>
    </row>
    <row r="574" spans="1:10" x14ac:dyDescent="0.25">
      <c r="A574" s="488"/>
      <c r="B574" s="489"/>
      <c r="C574" s="489"/>
      <c r="D574" s="489"/>
      <c r="E574" s="489"/>
      <c r="F574" s="489"/>
      <c r="G574" s="489"/>
      <c r="H574" s="489"/>
      <c r="I574" s="489"/>
      <c r="J574" s="490"/>
    </row>
    <row r="575" spans="1:10" x14ac:dyDescent="0.25">
      <c r="A575" s="488"/>
      <c r="B575" s="489"/>
      <c r="C575" s="489"/>
      <c r="D575" s="489"/>
      <c r="E575" s="489"/>
      <c r="F575" s="489"/>
      <c r="G575" s="489"/>
      <c r="H575" s="489"/>
      <c r="I575" s="489"/>
      <c r="J575" s="490"/>
    </row>
    <row r="576" spans="1:10" x14ac:dyDescent="0.25">
      <c r="A576" s="491"/>
      <c r="B576" s="492"/>
      <c r="C576" s="492"/>
      <c r="D576" s="492"/>
      <c r="E576" s="492"/>
      <c r="F576" s="492"/>
      <c r="G576" s="492"/>
      <c r="H576" s="492"/>
      <c r="I576" s="492"/>
      <c r="J576" s="493"/>
    </row>
    <row r="578" spans="1:10" ht="15.6" x14ac:dyDescent="0.3">
      <c r="A578" s="355" t="s">
        <v>848</v>
      </c>
      <c r="B578" s="356"/>
      <c r="C578" s="356"/>
      <c r="D578" s="356"/>
      <c r="E578" s="356"/>
      <c r="F578" s="356"/>
      <c r="G578" s="356"/>
      <c r="H578" s="353" t="str">
        <f>'CONTACT INFORMATION'!$A$24</f>
        <v>Alameda</v>
      </c>
      <c r="I578" s="353"/>
      <c r="J578" s="354"/>
    </row>
    <row r="579" spans="1:10" ht="8.1" customHeight="1" x14ac:dyDescent="0.25">
      <c r="A579" s="163"/>
      <c r="B579" s="163"/>
      <c r="C579" s="163"/>
      <c r="D579" s="163"/>
      <c r="E579" s="163"/>
      <c r="F579" s="163"/>
      <c r="G579" s="163"/>
      <c r="H579" s="163"/>
      <c r="I579" s="163"/>
      <c r="J579" s="163"/>
    </row>
    <row r="580" spans="1:10" ht="13.8" x14ac:dyDescent="0.25">
      <c r="A580" s="466" t="s">
        <v>859</v>
      </c>
      <c r="B580" s="467"/>
      <c r="C580" s="467"/>
      <c r="D580" s="467"/>
      <c r="E580" s="467"/>
      <c r="F580" s="467"/>
      <c r="G580" s="467"/>
      <c r="H580" s="467"/>
      <c r="I580" s="467"/>
      <c r="J580" s="468"/>
    </row>
    <row r="581" spans="1:10" ht="12.75" customHeight="1" x14ac:dyDescent="0.25">
      <c r="A581" s="463" t="s">
        <v>854</v>
      </c>
      <c r="B581" s="464"/>
      <c r="C581" s="464"/>
      <c r="D581" s="465"/>
      <c r="E581" s="544" t="s">
        <v>946</v>
      </c>
      <c r="F581" s="545"/>
      <c r="G581" s="545"/>
      <c r="H581" s="545"/>
      <c r="I581" s="545"/>
      <c r="J581" s="546"/>
    </row>
    <row r="582" spans="1:10" ht="12.75" customHeight="1" x14ac:dyDescent="0.25">
      <c r="A582" s="503" t="s">
        <v>853</v>
      </c>
      <c r="B582" s="504"/>
      <c r="C582" s="504"/>
      <c r="D582" s="505"/>
      <c r="E582" s="547"/>
      <c r="F582" s="548"/>
      <c r="G582" s="548"/>
      <c r="H582" s="548"/>
      <c r="I582" s="548"/>
      <c r="J582" s="549"/>
    </row>
    <row r="583" spans="1:10" x14ac:dyDescent="0.25">
      <c r="A583" s="541" t="s">
        <v>808</v>
      </c>
      <c r="B583" s="542"/>
      <c r="C583" s="542"/>
      <c r="D583" s="543"/>
      <c r="E583" s="479" t="s">
        <v>510</v>
      </c>
      <c r="F583" s="480"/>
      <c r="G583" s="480"/>
      <c r="H583" s="480"/>
      <c r="I583" s="480"/>
      <c r="J583" s="481"/>
    </row>
    <row r="584" spans="1:10" ht="27" customHeight="1" x14ac:dyDescent="0.25">
      <c r="A584" s="157"/>
      <c r="B584" s="208"/>
      <c r="C584" s="208"/>
      <c r="D584" s="208"/>
      <c r="E584" s="482" t="s">
        <v>535</v>
      </c>
      <c r="F584" s="483"/>
      <c r="G584" s="482" t="s">
        <v>533</v>
      </c>
      <c r="H584" s="483"/>
      <c r="I584" s="484" t="s">
        <v>849</v>
      </c>
      <c r="J584" s="485"/>
    </row>
    <row r="585" spans="1:10" x14ac:dyDescent="0.25">
      <c r="A585" s="448" t="s">
        <v>527</v>
      </c>
      <c r="B585" s="449"/>
      <c r="C585" s="449"/>
      <c r="D585" s="450"/>
      <c r="E585" s="456"/>
      <c r="F585" s="456"/>
      <c r="G585" s="456"/>
      <c r="H585" s="456"/>
      <c r="I585" s="457"/>
      <c r="J585" s="457"/>
    </row>
    <row r="586" spans="1:10" x14ac:dyDescent="0.25">
      <c r="A586" s="452" t="s">
        <v>528</v>
      </c>
      <c r="B586" s="453"/>
      <c r="C586" s="453"/>
      <c r="D586" s="454"/>
      <c r="E586" s="439"/>
      <c r="F586" s="439"/>
      <c r="G586" s="440"/>
      <c r="H586" s="440"/>
      <c r="I586" s="455"/>
      <c r="J586" s="455"/>
    </row>
    <row r="587" spans="1:10" x14ac:dyDescent="0.25">
      <c r="A587" s="448" t="s">
        <v>529</v>
      </c>
      <c r="B587" s="449"/>
      <c r="C587" s="449"/>
      <c r="D587" s="450"/>
      <c r="E587" s="456">
        <v>109489</v>
      </c>
      <c r="F587" s="456"/>
      <c r="G587" s="456"/>
      <c r="H587" s="456"/>
      <c r="I587" s="457"/>
      <c r="J587" s="457"/>
    </row>
    <row r="588" spans="1:10" x14ac:dyDescent="0.25">
      <c r="A588" s="452" t="s">
        <v>530</v>
      </c>
      <c r="B588" s="453"/>
      <c r="C588" s="453"/>
      <c r="D588" s="454"/>
      <c r="E588" s="439"/>
      <c r="F588" s="439"/>
      <c r="G588" s="440"/>
      <c r="H588" s="440"/>
      <c r="I588" s="455"/>
      <c r="J588" s="455"/>
    </row>
    <row r="589" spans="1:10" x14ac:dyDescent="0.25">
      <c r="A589" s="448" t="s">
        <v>531</v>
      </c>
      <c r="B589" s="449"/>
      <c r="C589" s="449"/>
      <c r="D589" s="450"/>
      <c r="E589" s="456"/>
      <c r="F589" s="456"/>
      <c r="G589" s="456"/>
      <c r="H589" s="456"/>
      <c r="I589" s="457"/>
      <c r="J589" s="457"/>
    </row>
    <row r="590" spans="1:10" x14ac:dyDescent="0.25">
      <c r="A590" s="452" t="s">
        <v>532</v>
      </c>
      <c r="B590" s="453"/>
      <c r="C590" s="453"/>
      <c r="D590" s="454"/>
      <c r="E590" s="439"/>
      <c r="F590" s="439"/>
      <c r="G590" s="440"/>
      <c r="H590" s="440"/>
      <c r="I590" s="455"/>
      <c r="J590" s="455"/>
    </row>
    <row r="591" spans="1:10" x14ac:dyDescent="0.25">
      <c r="A591" s="448" t="s">
        <v>537</v>
      </c>
      <c r="B591" s="449"/>
      <c r="C591" s="449"/>
      <c r="D591" s="450"/>
      <c r="E591" s="451"/>
      <c r="F591" s="451"/>
      <c r="G591" s="451"/>
      <c r="H591" s="451"/>
      <c r="I591" s="445"/>
      <c r="J591" s="445"/>
    </row>
    <row r="592" spans="1:10" x14ac:dyDescent="0.25">
      <c r="A592" s="436"/>
      <c r="B592" s="437"/>
      <c r="C592" s="437"/>
      <c r="D592" s="438"/>
      <c r="E592" s="439"/>
      <c r="F592" s="439"/>
      <c r="G592" s="440"/>
      <c r="H592" s="440"/>
      <c r="I592" s="440"/>
      <c r="J592" s="440"/>
    </row>
    <row r="593" spans="1:10" x14ac:dyDescent="0.25">
      <c r="A593" s="436"/>
      <c r="B593" s="437"/>
      <c r="C593" s="437"/>
      <c r="D593" s="438"/>
      <c r="E593" s="439"/>
      <c r="F593" s="439"/>
      <c r="G593" s="440"/>
      <c r="H593" s="440"/>
      <c r="I593" s="440"/>
      <c r="J593" s="440"/>
    </row>
    <row r="594" spans="1:10" x14ac:dyDescent="0.25">
      <c r="A594" s="436"/>
      <c r="B594" s="437"/>
      <c r="C594" s="437"/>
      <c r="D594" s="438"/>
      <c r="E594" s="439"/>
      <c r="F594" s="439"/>
      <c r="G594" s="440"/>
      <c r="H594" s="440"/>
      <c r="I594" s="440"/>
      <c r="J594" s="440"/>
    </row>
    <row r="595" spans="1:10" x14ac:dyDescent="0.25">
      <c r="A595" s="441" t="s">
        <v>534</v>
      </c>
      <c r="B595" s="442"/>
      <c r="C595" s="442"/>
      <c r="D595" s="443"/>
      <c r="E595" s="444">
        <f>SUM(E585:E594)</f>
        <v>109489</v>
      </c>
      <c r="F595" s="444"/>
      <c r="G595" s="444">
        <f>SUM(G585:G594)</f>
        <v>0</v>
      </c>
      <c r="H595" s="444"/>
      <c r="I595" s="444">
        <f>SUM(I585:I594)</f>
        <v>0</v>
      </c>
      <c r="J595" s="444"/>
    </row>
    <row r="596" spans="1:10" ht="12.75" customHeight="1" x14ac:dyDescent="0.25">
      <c r="A596" s="494" t="s">
        <v>861</v>
      </c>
      <c r="B596" s="495"/>
      <c r="C596" s="495"/>
      <c r="D596" s="495"/>
      <c r="E596" s="495"/>
      <c r="F596" s="495"/>
      <c r="G596" s="495"/>
      <c r="H596" s="495"/>
      <c r="I596" s="495"/>
      <c r="J596" s="496"/>
    </row>
    <row r="597" spans="1:10" ht="12.75" customHeight="1" x14ac:dyDescent="0.25">
      <c r="A597" s="497" t="s">
        <v>862</v>
      </c>
      <c r="B597" s="498"/>
      <c r="C597" s="498"/>
      <c r="D597" s="498"/>
      <c r="E597" s="498"/>
      <c r="F597" s="498"/>
      <c r="G597" s="498"/>
      <c r="H597" s="498"/>
      <c r="I597" s="498"/>
      <c r="J597" s="499"/>
    </row>
    <row r="598" spans="1:10" ht="12.75" customHeight="1" x14ac:dyDescent="0.25">
      <c r="A598" s="497" t="s">
        <v>863</v>
      </c>
      <c r="B598" s="498"/>
      <c r="C598" s="498"/>
      <c r="D598" s="498"/>
      <c r="E598" s="498"/>
      <c r="F598" s="498"/>
      <c r="G598" s="498"/>
      <c r="H598" s="498"/>
      <c r="I598" s="498"/>
      <c r="J598" s="499"/>
    </row>
    <row r="599" spans="1:10" ht="12.75" customHeight="1" x14ac:dyDescent="0.25">
      <c r="A599" s="500" t="s">
        <v>864</v>
      </c>
      <c r="B599" s="501"/>
      <c r="C599" s="501"/>
      <c r="D599" s="501"/>
      <c r="E599" s="501"/>
      <c r="F599" s="501"/>
      <c r="G599" s="501"/>
      <c r="H599" s="501"/>
      <c r="I599" s="501"/>
      <c r="J599" s="502"/>
    </row>
    <row r="600" spans="1:10" x14ac:dyDescent="0.25">
      <c r="A600" s="305" t="s">
        <v>976</v>
      </c>
      <c r="B600" s="486"/>
      <c r="C600" s="486"/>
      <c r="D600" s="486"/>
      <c r="E600" s="486"/>
      <c r="F600" s="486"/>
      <c r="G600" s="486"/>
      <c r="H600" s="486"/>
      <c r="I600" s="486"/>
      <c r="J600" s="487"/>
    </row>
    <row r="601" spans="1:10" x14ac:dyDescent="0.25">
      <c r="A601" s="488"/>
      <c r="B601" s="489"/>
      <c r="C601" s="489"/>
      <c r="D601" s="489"/>
      <c r="E601" s="489"/>
      <c r="F601" s="489"/>
      <c r="G601" s="489"/>
      <c r="H601" s="489"/>
      <c r="I601" s="489"/>
      <c r="J601" s="490"/>
    </row>
    <row r="602" spans="1:10" x14ac:dyDescent="0.25">
      <c r="A602" s="488"/>
      <c r="B602" s="489"/>
      <c r="C602" s="489"/>
      <c r="D602" s="489"/>
      <c r="E602" s="489"/>
      <c r="F602" s="489"/>
      <c r="G602" s="489"/>
      <c r="H602" s="489"/>
      <c r="I602" s="489"/>
      <c r="J602" s="490"/>
    </row>
    <row r="603" spans="1:10" x14ac:dyDescent="0.25">
      <c r="A603" s="488"/>
      <c r="B603" s="489"/>
      <c r="C603" s="489"/>
      <c r="D603" s="489"/>
      <c r="E603" s="489"/>
      <c r="F603" s="489"/>
      <c r="G603" s="489"/>
      <c r="H603" s="489"/>
      <c r="I603" s="489"/>
      <c r="J603" s="490"/>
    </row>
    <row r="604" spans="1:10" x14ac:dyDescent="0.25">
      <c r="A604" s="488"/>
      <c r="B604" s="489"/>
      <c r="C604" s="489"/>
      <c r="D604" s="489"/>
      <c r="E604" s="489"/>
      <c r="F604" s="489"/>
      <c r="G604" s="489"/>
      <c r="H604" s="489"/>
      <c r="I604" s="489"/>
      <c r="J604" s="490"/>
    </row>
    <row r="605" spans="1:10" x14ac:dyDescent="0.25">
      <c r="A605" s="488"/>
      <c r="B605" s="489"/>
      <c r="C605" s="489"/>
      <c r="D605" s="489"/>
      <c r="E605" s="489"/>
      <c r="F605" s="489"/>
      <c r="G605" s="489"/>
      <c r="H605" s="489"/>
      <c r="I605" s="489"/>
      <c r="J605" s="490"/>
    </row>
    <row r="606" spans="1:10" x14ac:dyDescent="0.25">
      <c r="A606" s="488"/>
      <c r="B606" s="489"/>
      <c r="C606" s="489"/>
      <c r="D606" s="489"/>
      <c r="E606" s="489"/>
      <c r="F606" s="489"/>
      <c r="G606" s="489"/>
      <c r="H606" s="489"/>
      <c r="I606" s="489"/>
      <c r="J606" s="490"/>
    </row>
    <row r="607" spans="1:10" x14ac:dyDescent="0.25">
      <c r="A607" s="488"/>
      <c r="B607" s="489"/>
      <c r="C607" s="489"/>
      <c r="D607" s="489"/>
      <c r="E607" s="489"/>
      <c r="F607" s="489"/>
      <c r="G607" s="489"/>
      <c r="H607" s="489"/>
      <c r="I607" s="489"/>
      <c r="J607" s="490"/>
    </row>
    <row r="608" spans="1:10" x14ac:dyDescent="0.25">
      <c r="A608" s="488"/>
      <c r="B608" s="489"/>
      <c r="C608" s="489"/>
      <c r="D608" s="489"/>
      <c r="E608" s="489"/>
      <c r="F608" s="489"/>
      <c r="G608" s="489"/>
      <c r="H608" s="489"/>
      <c r="I608" s="489"/>
      <c r="J608" s="490"/>
    </row>
    <row r="609" spans="1:10" x14ac:dyDescent="0.25">
      <c r="A609" s="488"/>
      <c r="B609" s="489"/>
      <c r="C609" s="489"/>
      <c r="D609" s="489"/>
      <c r="E609" s="489"/>
      <c r="F609" s="489"/>
      <c r="G609" s="489"/>
      <c r="H609" s="489"/>
      <c r="I609" s="489"/>
      <c r="J609" s="490"/>
    </row>
    <row r="610" spans="1:10" x14ac:dyDescent="0.25">
      <c r="A610" s="488"/>
      <c r="B610" s="489"/>
      <c r="C610" s="489"/>
      <c r="D610" s="489"/>
      <c r="E610" s="489"/>
      <c r="F610" s="489"/>
      <c r="G610" s="489"/>
      <c r="H610" s="489"/>
      <c r="I610" s="489"/>
      <c r="J610" s="490"/>
    </row>
    <row r="611" spans="1:10" x14ac:dyDescent="0.25">
      <c r="A611" s="488"/>
      <c r="B611" s="489"/>
      <c r="C611" s="489"/>
      <c r="D611" s="489"/>
      <c r="E611" s="489"/>
      <c r="F611" s="489"/>
      <c r="G611" s="489"/>
      <c r="H611" s="489"/>
      <c r="I611" s="489"/>
      <c r="J611" s="490"/>
    </row>
    <row r="612" spans="1:10" x14ac:dyDescent="0.25">
      <c r="A612" s="488"/>
      <c r="B612" s="489"/>
      <c r="C612" s="489"/>
      <c r="D612" s="489"/>
      <c r="E612" s="489"/>
      <c r="F612" s="489"/>
      <c r="G612" s="489"/>
      <c r="H612" s="489"/>
      <c r="I612" s="489"/>
      <c r="J612" s="490"/>
    </row>
    <row r="613" spans="1:10" x14ac:dyDescent="0.25">
      <c r="A613" s="488"/>
      <c r="B613" s="489"/>
      <c r="C613" s="489"/>
      <c r="D613" s="489"/>
      <c r="E613" s="489"/>
      <c r="F613" s="489"/>
      <c r="G613" s="489"/>
      <c r="H613" s="489"/>
      <c r="I613" s="489"/>
      <c r="J613" s="490"/>
    </row>
    <row r="614" spans="1:10" x14ac:dyDescent="0.25">
      <c r="A614" s="488"/>
      <c r="B614" s="489"/>
      <c r="C614" s="489"/>
      <c r="D614" s="489"/>
      <c r="E614" s="489"/>
      <c r="F614" s="489"/>
      <c r="G614" s="489"/>
      <c r="H614" s="489"/>
      <c r="I614" s="489"/>
      <c r="J614" s="490"/>
    </row>
    <row r="615" spans="1:10" x14ac:dyDescent="0.25">
      <c r="A615" s="488"/>
      <c r="B615" s="489"/>
      <c r="C615" s="489"/>
      <c r="D615" s="489"/>
      <c r="E615" s="489"/>
      <c r="F615" s="489"/>
      <c r="G615" s="489"/>
      <c r="H615" s="489"/>
      <c r="I615" s="489"/>
      <c r="J615" s="490"/>
    </row>
    <row r="616" spans="1:10" x14ac:dyDescent="0.25">
      <c r="A616" s="488"/>
      <c r="B616" s="489"/>
      <c r="C616" s="489"/>
      <c r="D616" s="489"/>
      <c r="E616" s="489"/>
      <c r="F616" s="489"/>
      <c r="G616" s="489"/>
      <c r="H616" s="489"/>
      <c r="I616" s="489"/>
      <c r="J616" s="490"/>
    </row>
    <row r="617" spans="1:10" x14ac:dyDescent="0.25">
      <c r="A617" s="488"/>
      <c r="B617" s="489"/>
      <c r="C617" s="489"/>
      <c r="D617" s="489"/>
      <c r="E617" s="489"/>
      <c r="F617" s="489"/>
      <c r="G617" s="489"/>
      <c r="H617" s="489"/>
      <c r="I617" s="489"/>
      <c r="J617" s="490"/>
    </row>
    <row r="618" spans="1:10" x14ac:dyDescent="0.25">
      <c r="A618" s="488"/>
      <c r="B618" s="489"/>
      <c r="C618" s="489"/>
      <c r="D618" s="489"/>
      <c r="E618" s="489"/>
      <c r="F618" s="489"/>
      <c r="G618" s="489"/>
      <c r="H618" s="489"/>
      <c r="I618" s="489"/>
      <c r="J618" s="490"/>
    </row>
    <row r="619" spans="1:10" x14ac:dyDescent="0.25">
      <c r="A619" s="488"/>
      <c r="B619" s="489"/>
      <c r="C619" s="489"/>
      <c r="D619" s="489"/>
      <c r="E619" s="489"/>
      <c r="F619" s="489"/>
      <c r="G619" s="489"/>
      <c r="H619" s="489"/>
      <c r="I619" s="489"/>
      <c r="J619" s="490"/>
    </row>
    <row r="620" spans="1:10" x14ac:dyDescent="0.25">
      <c r="A620" s="488"/>
      <c r="B620" s="489"/>
      <c r="C620" s="489"/>
      <c r="D620" s="489"/>
      <c r="E620" s="489"/>
      <c r="F620" s="489"/>
      <c r="G620" s="489"/>
      <c r="H620" s="489"/>
      <c r="I620" s="489"/>
      <c r="J620" s="490"/>
    </row>
    <row r="621" spans="1:10" x14ac:dyDescent="0.25">
      <c r="A621" s="488"/>
      <c r="B621" s="489"/>
      <c r="C621" s="489"/>
      <c r="D621" s="489"/>
      <c r="E621" s="489"/>
      <c r="F621" s="489"/>
      <c r="G621" s="489"/>
      <c r="H621" s="489"/>
      <c r="I621" s="489"/>
      <c r="J621" s="490"/>
    </row>
    <row r="622" spans="1:10" x14ac:dyDescent="0.25">
      <c r="A622" s="488"/>
      <c r="B622" s="489"/>
      <c r="C622" s="489"/>
      <c r="D622" s="489"/>
      <c r="E622" s="489"/>
      <c r="F622" s="489"/>
      <c r="G622" s="489"/>
      <c r="H622" s="489"/>
      <c r="I622" s="489"/>
      <c r="J622" s="490"/>
    </row>
    <row r="623" spans="1:10" x14ac:dyDescent="0.25">
      <c r="A623" s="488"/>
      <c r="B623" s="489"/>
      <c r="C623" s="489"/>
      <c r="D623" s="489"/>
      <c r="E623" s="489"/>
      <c r="F623" s="489"/>
      <c r="G623" s="489"/>
      <c r="H623" s="489"/>
      <c r="I623" s="489"/>
      <c r="J623" s="490"/>
    </row>
    <row r="624" spans="1:10" x14ac:dyDescent="0.25">
      <c r="A624" s="488"/>
      <c r="B624" s="489"/>
      <c r="C624" s="489"/>
      <c r="D624" s="489"/>
      <c r="E624" s="489"/>
      <c r="F624" s="489"/>
      <c r="G624" s="489"/>
      <c r="H624" s="489"/>
      <c r="I624" s="489"/>
      <c r="J624" s="490"/>
    </row>
    <row r="625" spans="1:10" x14ac:dyDescent="0.25">
      <c r="A625" s="488"/>
      <c r="B625" s="489"/>
      <c r="C625" s="489"/>
      <c r="D625" s="489"/>
      <c r="E625" s="489"/>
      <c r="F625" s="489"/>
      <c r="G625" s="489"/>
      <c r="H625" s="489"/>
      <c r="I625" s="489"/>
      <c r="J625" s="490"/>
    </row>
    <row r="626" spans="1:10" x14ac:dyDescent="0.25">
      <c r="A626" s="488"/>
      <c r="B626" s="489"/>
      <c r="C626" s="489"/>
      <c r="D626" s="489"/>
      <c r="E626" s="489"/>
      <c r="F626" s="489"/>
      <c r="G626" s="489"/>
      <c r="H626" s="489"/>
      <c r="I626" s="489"/>
      <c r="J626" s="490"/>
    </row>
    <row r="627" spans="1:10" x14ac:dyDescent="0.25">
      <c r="A627" s="488"/>
      <c r="B627" s="489"/>
      <c r="C627" s="489"/>
      <c r="D627" s="489"/>
      <c r="E627" s="489"/>
      <c r="F627" s="489"/>
      <c r="G627" s="489"/>
      <c r="H627" s="489"/>
      <c r="I627" s="489"/>
      <c r="J627" s="490"/>
    </row>
    <row r="628" spans="1:10" x14ac:dyDescent="0.25">
      <c r="A628" s="488"/>
      <c r="B628" s="489"/>
      <c r="C628" s="489"/>
      <c r="D628" s="489"/>
      <c r="E628" s="489"/>
      <c r="F628" s="489"/>
      <c r="G628" s="489"/>
      <c r="H628" s="489"/>
      <c r="I628" s="489"/>
      <c r="J628" s="490"/>
    </row>
    <row r="629" spans="1:10" x14ac:dyDescent="0.25">
      <c r="A629" s="488"/>
      <c r="B629" s="489"/>
      <c r="C629" s="489"/>
      <c r="D629" s="489"/>
      <c r="E629" s="489"/>
      <c r="F629" s="489"/>
      <c r="G629" s="489"/>
      <c r="H629" s="489"/>
      <c r="I629" s="489"/>
      <c r="J629" s="490"/>
    </row>
    <row r="630" spans="1:10" x14ac:dyDescent="0.25">
      <c r="A630" s="488"/>
      <c r="B630" s="489"/>
      <c r="C630" s="489"/>
      <c r="D630" s="489"/>
      <c r="E630" s="489"/>
      <c r="F630" s="489"/>
      <c r="G630" s="489"/>
      <c r="H630" s="489"/>
      <c r="I630" s="489"/>
      <c r="J630" s="490"/>
    </row>
    <row r="631" spans="1:10" x14ac:dyDescent="0.25">
      <c r="A631" s="488"/>
      <c r="B631" s="489"/>
      <c r="C631" s="489"/>
      <c r="D631" s="489"/>
      <c r="E631" s="489"/>
      <c r="F631" s="489"/>
      <c r="G631" s="489"/>
      <c r="H631" s="489"/>
      <c r="I631" s="489"/>
      <c r="J631" s="490"/>
    </row>
    <row r="632" spans="1:10" x14ac:dyDescent="0.25">
      <c r="A632" s="488"/>
      <c r="B632" s="489"/>
      <c r="C632" s="489"/>
      <c r="D632" s="489"/>
      <c r="E632" s="489"/>
      <c r="F632" s="489"/>
      <c r="G632" s="489"/>
      <c r="H632" s="489"/>
      <c r="I632" s="489"/>
      <c r="J632" s="490"/>
    </row>
    <row r="633" spans="1:10" x14ac:dyDescent="0.25">
      <c r="A633" s="488"/>
      <c r="B633" s="489"/>
      <c r="C633" s="489"/>
      <c r="D633" s="489"/>
      <c r="E633" s="489"/>
      <c r="F633" s="489"/>
      <c r="G633" s="489"/>
      <c r="H633" s="489"/>
      <c r="I633" s="489"/>
      <c r="J633" s="490"/>
    </row>
    <row r="634" spans="1:10" x14ac:dyDescent="0.25">
      <c r="A634" s="491"/>
      <c r="B634" s="492"/>
      <c r="C634" s="492"/>
      <c r="D634" s="492"/>
      <c r="E634" s="492"/>
      <c r="F634" s="492"/>
      <c r="G634" s="492"/>
      <c r="H634" s="492"/>
      <c r="I634" s="492"/>
      <c r="J634" s="493"/>
    </row>
    <row r="636" spans="1:10" ht="15.6" x14ac:dyDescent="0.3">
      <c r="A636" s="355" t="s">
        <v>848</v>
      </c>
      <c r="B636" s="356"/>
      <c r="C636" s="356"/>
      <c r="D636" s="356"/>
      <c r="E636" s="356"/>
      <c r="F636" s="356"/>
      <c r="G636" s="356"/>
      <c r="H636" s="353" t="str">
        <f>'CONTACT INFORMATION'!$A$24</f>
        <v>Alameda</v>
      </c>
      <c r="I636" s="353"/>
      <c r="J636" s="354"/>
    </row>
    <row r="637" spans="1:10" ht="8.1" customHeight="1" x14ac:dyDescent="0.25">
      <c r="A637" s="163"/>
      <c r="B637" s="163"/>
      <c r="C637" s="163"/>
      <c r="D637" s="163"/>
      <c r="E637" s="163"/>
      <c r="F637" s="163"/>
      <c r="G637" s="163"/>
      <c r="H637" s="163"/>
      <c r="I637" s="163"/>
      <c r="J637" s="163"/>
    </row>
    <row r="638" spans="1:10" ht="13.8" x14ac:dyDescent="0.25">
      <c r="A638" s="466" t="s">
        <v>860</v>
      </c>
      <c r="B638" s="467"/>
      <c r="C638" s="467"/>
      <c r="D638" s="467"/>
      <c r="E638" s="467"/>
      <c r="F638" s="467"/>
      <c r="G638" s="467"/>
      <c r="H638" s="467"/>
      <c r="I638" s="467"/>
      <c r="J638" s="468"/>
    </row>
    <row r="639" spans="1:10" x14ac:dyDescent="0.25">
      <c r="A639" s="463" t="s">
        <v>854</v>
      </c>
      <c r="B639" s="464"/>
      <c r="C639" s="464"/>
      <c r="D639" s="465"/>
      <c r="E639" s="544" t="s">
        <v>947</v>
      </c>
      <c r="F639" s="545"/>
      <c r="G639" s="545"/>
      <c r="H639" s="545"/>
      <c r="I639" s="545"/>
      <c r="J639" s="546"/>
    </row>
    <row r="640" spans="1:10" x14ac:dyDescent="0.25">
      <c r="A640" s="503" t="s">
        <v>853</v>
      </c>
      <c r="B640" s="504"/>
      <c r="C640" s="504"/>
      <c r="D640" s="505"/>
      <c r="E640" s="547"/>
      <c r="F640" s="548"/>
      <c r="G640" s="548"/>
      <c r="H640" s="548"/>
      <c r="I640" s="548"/>
      <c r="J640" s="549"/>
    </row>
    <row r="641" spans="1:10" x14ac:dyDescent="0.25">
      <c r="A641" s="541" t="s">
        <v>808</v>
      </c>
      <c r="B641" s="542"/>
      <c r="C641" s="542"/>
      <c r="D641" s="543"/>
      <c r="E641" s="479" t="s">
        <v>510</v>
      </c>
      <c r="F641" s="480"/>
      <c r="G641" s="480"/>
      <c r="H641" s="480"/>
      <c r="I641" s="480"/>
      <c r="J641" s="481"/>
    </row>
    <row r="642" spans="1:10" ht="27" customHeight="1" x14ac:dyDescent="0.25">
      <c r="A642" s="157"/>
      <c r="B642" s="208"/>
      <c r="C642" s="208"/>
      <c r="D642" s="208"/>
      <c r="E642" s="482" t="s">
        <v>535</v>
      </c>
      <c r="F642" s="483"/>
      <c r="G642" s="482" t="s">
        <v>533</v>
      </c>
      <c r="H642" s="483"/>
      <c r="I642" s="484" t="s">
        <v>849</v>
      </c>
      <c r="J642" s="485"/>
    </row>
    <row r="643" spans="1:10" x14ac:dyDescent="0.25">
      <c r="A643" s="448" t="s">
        <v>527</v>
      </c>
      <c r="B643" s="449"/>
      <c r="C643" s="449"/>
      <c r="D643" s="450"/>
      <c r="E643" s="456"/>
      <c r="F643" s="456"/>
      <c r="G643" s="456"/>
      <c r="H643" s="456"/>
      <c r="I643" s="457"/>
      <c r="J643" s="457"/>
    </row>
    <row r="644" spans="1:10" x14ac:dyDescent="0.25">
      <c r="A644" s="452" t="s">
        <v>528</v>
      </c>
      <c r="B644" s="453"/>
      <c r="C644" s="453"/>
      <c r="D644" s="454"/>
      <c r="E644" s="439"/>
      <c r="F644" s="439"/>
      <c r="G644" s="440"/>
      <c r="H644" s="440"/>
      <c r="I644" s="455"/>
      <c r="J644" s="455"/>
    </row>
    <row r="645" spans="1:10" x14ac:dyDescent="0.25">
      <c r="A645" s="448" t="s">
        <v>529</v>
      </c>
      <c r="B645" s="449"/>
      <c r="C645" s="449"/>
      <c r="D645" s="450"/>
      <c r="E645" s="456">
        <v>86503</v>
      </c>
      <c r="F645" s="456"/>
      <c r="G645" s="456"/>
      <c r="H645" s="456"/>
      <c r="I645" s="457"/>
      <c r="J645" s="457"/>
    </row>
    <row r="646" spans="1:10" x14ac:dyDescent="0.25">
      <c r="A646" s="452" t="s">
        <v>530</v>
      </c>
      <c r="B646" s="453"/>
      <c r="C646" s="453"/>
      <c r="D646" s="454"/>
      <c r="E646" s="439"/>
      <c r="F646" s="439"/>
      <c r="G646" s="440"/>
      <c r="H646" s="440"/>
      <c r="I646" s="455"/>
      <c r="J646" s="455"/>
    </row>
    <row r="647" spans="1:10" x14ac:dyDescent="0.25">
      <c r="A647" s="448" t="s">
        <v>531</v>
      </c>
      <c r="B647" s="449"/>
      <c r="C647" s="449"/>
      <c r="D647" s="450"/>
      <c r="E647" s="456"/>
      <c r="F647" s="456"/>
      <c r="G647" s="456"/>
      <c r="H647" s="456"/>
      <c r="I647" s="457"/>
      <c r="J647" s="457"/>
    </row>
    <row r="648" spans="1:10" x14ac:dyDescent="0.25">
      <c r="A648" s="452" t="s">
        <v>532</v>
      </c>
      <c r="B648" s="453"/>
      <c r="C648" s="453"/>
      <c r="D648" s="454"/>
      <c r="E648" s="439"/>
      <c r="F648" s="439"/>
      <c r="G648" s="440"/>
      <c r="H648" s="440"/>
      <c r="I648" s="455"/>
      <c r="J648" s="455"/>
    </row>
    <row r="649" spans="1:10" x14ac:dyDescent="0.25">
      <c r="A649" s="448" t="s">
        <v>537</v>
      </c>
      <c r="B649" s="449"/>
      <c r="C649" s="449"/>
      <c r="D649" s="450"/>
      <c r="E649" s="451"/>
      <c r="F649" s="451"/>
      <c r="G649" s="451"/>
      <c r="H649" s="451"/>
      <c r="I649" s="445"/>
      <c r="J649" s="445"/>
    </row>
    <row r="650" spans="1:10" x14ac:dyDescent="0.25">
      <c r="A650" s="436"/>
      <c r="B650" s="437"/>
      <c r="C650" s="437"/>
      <c r="D650" s="438"/>
      <c r="E650" s="439"/>
      <c r="F650" s="439"/>
      <c r="G650" s="440"/>
      <c r="H650" s="440"/>
      <c r="I650" s="440"/>
      <c r="J650" s="440"/>
    </row>
    <row r="651" spans="1:10" x14ac:dyDescent="0.25">
      <c r="A651" s="436"/>
      <c r="B651" s="437"/>
      <c r="C651" s="437"/>
      <c r="D651" s="438"/>
      <c r="E651" s="439"/>
      <c r="F651" s="439"/>
      <c r="G651" s="440"/>
      <c r="H651" s="440"/>
      <c r="I651" s="440"/>
      <c r="J651" s="440"/>
    </row>
    <row r="652" spans="1:10" x14ac:dyDescent="0.25">
      <c r="A652" s="436"/>
      <c r="B652" s="437"/>
      <c r="C652" s="437"/>
      <c r="D652" s="438"/>
      <c r="E652" s="439"/>
      <c r="F652" s="439"/>
      <c r="G652" s="440"/>
      <c r="H652" s="440"/>
      <c r="I652" s="440"/>
      <c r="J652" s="440"/>
    </row>
    <row r="653" spans="1:10" x14ac:dyDescent="0.25">
      <c r="A653" s="441" t="s">
        <v>534</v>
      </c>
      <c r="B653" s="442"/>
      <c r="C653" s="442"/>
      <c r="D653" s="443"/>
      <c r="E653" s="444">
        <f>SUM(E643:E652)</f>
        <v>86503</v>
      </c>
      <c r="F653" s="444"/>
      <c r="G653" s="444">
        <f>SUM(G643:G652)</f>
        <v>0</v>
      </c>
      <c r="H653" s="444"/>
      <c r="I653" s="444">
        <f>SUM(I643:I652)</f>
        <v>0</v>
      </c>
      <c r="J653" s="444"/>
    </row>
    <row r="654" spans="1:10" x14ac:dyDescent="0.25">
      <c r="A654" s="494" t="s">
        <v>861</v>
      </c>
      <c r="B654" s="495"/>
      <c r="C654" s="495"/>
      <c r="D654" s="495"/>
      <c r="E654" s="495"/>
      <c r="F654" s="495"/>
      <c r="G654" s="495"/>
      <c r="H654" s="495"/>
      <c r="I654" s="495"/>
      <c r="J654" s="496"/>
    </row>
    <row r="655" spans="1:10" x14ac:dyDescent="0.25">
      <c r="A655" s="497" t="s">
        <v>862</v>
      </c>
      <c r="B655" s="498"/>
      <c r="C655" s="498"/>
      <c r="D655" s="498"/>
      <c r="E655" s="498"/>
      <c r="F655" s="498"/>
      <c r="G655" s="498"/>
      <c r="H655" s="498"/>
      <c r="I655" s="498"/>
      <c r="J655" s="499"/>
    </row>
    <row r="656" spans="1:10" x14ac:dyDescent="0.25">
      <c r="A656" s="497" t="s">
        <v>863</v>
      </c>
      <c r="B656" s="498"/>
      <c r="C656" s="498"/>
      <c r="D656" s="498"/>
      <c r="E656" s="498"/>
      <c r="F656" s="498"/>
      <c r="G656" s="498"/>
      <c r="H656" s="498"/>
      <c r="I656" s="498"/>
      <c r="J656" s="499"/>
    </row>
    <row r="657" spans="1:10" x14ac:dyDescent="0.25">
      <c r="A657" s="500" t="s">
        <v>864</v>
      </c>
      <c r="B657" s="501"/>
      <c r="C657" s="501"/>
      <c r="D657" s="501"/>
      <c r="E657" s="501"/>
      <c r="F657" s="501"/>
      <c r="G657" s="501"/>
      <c r="H657" s="501"/>
      <c r="I657" s="501"/>
      <c r="J657" s="502"/>
    </row>
    <row r="658" spans="1:10" x14ac:dyDescent="0.25">
      <c r="A658" s="305" t="s">
        <v>948</v>
      </c>
      <c r="B658" s="486"/>
      <c r="C658" s="486"/>
      <c r="D658" s="486"/>
      <c r="E658" s="486"/>
      <c r="F658" s="486"/>
      <c r="G658" s="486"/>
      <c r="H658" s="486"/>
      <c r="I658" s="486"/>
      <c r="J658" s="487"/>
    </row>
    <row r="659" spans="1:10" x14ac:dyDescent="0.25">
      <c r="A659" s="488"/>
      <c r="B659" s="489"/>
      <c r="C659" s="489"/>
      <c r="D659" s="489"/>
      <c r="E659" s="489"/>
      <c r="F659" s="489"/>
      <c r="G659" s="489"/>
      <c r="H659" s="489"/>
      <c r="I659" s="489"/>
      <c r="J659" s="490"/>
    </row>
    <row r="660" spans="1:10" x14ac:dyDescent="0.25">
      <c r="A660" s="488"/>
      <c r="B660" s="489"/>
      <c r="C660" s="489"/>
      <c r="D660" s="489"/>
      <c r="E660" s="489"/>
      <c r="F660" s="489"/>
      <c r="G660" s="489"/>
      <c r="H660" s="489"/>
      <c r="I660" s="489"/>
      <c r="J660" s="490"/>
    </row>
    <row r="661" spans="1:10" x14ac:dyDescent="0.25">
      <c r="A661" s="488"/>
      <c r="B661" s="489"/>
      <c r="C661" s="489"/>
      <c r="D661" s="489"/>
      <c r="E661" s="489"/>
      <c r="F661" s="489"/>
      <c r="G661" s="489"/>
      <c r="H661" s="489"/>
      <c r="I661" s="489"/>
      <c r="J661" s="490"/>
    </row>
    <row r="662" spans="1:10" x14ac:dyDescent="0.25">
      <c r="A662" s="488"/>
      <c r="B662" s="489"/>
      <c r="C662" s="489"/>
      <c r="D662" s="489"/>
      <c r="E662" s="489"/>
      <c r="F662" s="489"/>
      <c r="G662" s="489"/>
      <c r="H662" s="489"/>
      <c r="I662" s="489"/>
      <c r="J662" s="490"/>
    </row>
    <row r="663" spans="1:10" x14ac:dyDescent="0.25">
      <c r="A663" s="488"/>
      <c r="B663" s="489"/>
      <c r="C663" s="489"/>
      <c r="D663" s="489"/>
      <c r="E663" s="489"/>
      <c r="F663" s="489"/>
      <c r="G663" s="489"/>
      <c r="H663" s="489"/>
      <c r="I663" s="489"/>
      <c r="J663" s="490"/>
    </row>
    <row r="664" spans="1:10" x14ac:dyDescent="0.25">
      <c r="A664" s="488"/>
      <c r="B664" s="489"/>
      <c r="C664" s="489"/>
      <c r="D664" s="489"/>
      <c r="E664" s="489"/>
      <c r="F664" s="489"/>
      <c r="G664" s="489"/>
      <c r="H664" s="489"/>
      <c r="I664" s="489"/>
      <c r="J664" s="490"/>
    </row>
    <row r="665" spans="1:10" x14ac:dyDescent="0.25">
      <c r="A665" s="488"/>
      <c r="B665" s="489"/>
      <c r="C665" s="489"/>
      <c r="D665" s="489"/>
      <c r="E665" s="489"/>
      <c r="F665" s="489"/>
      <c r="G665" s="489"/>
      <c r="H665" s="489"/>
      <c r="I665" s="489"/>
      <c r="J665" s="490"/>
    </row>
    <row r="666" spans="1:10" x14ac:dyDescent="0.25">
      <c r="A666" s="488"/>
      <c r="B666" s="489"/>
      <c r="C666" s="489"/>
      <c r="D666" s="489"/>
      <c r="E666" s="489"/>
      <c r="F666" s="489"/>
      <c r="G666" s="489"/>
      <c r="H666" s="489"/>
      <c r="I666" s="489"/>
      <c r="J666" s="490"/>
    </row>
    <row r="667" spans="1:10" x14ac:dyDescent="0.25">
      <c r="A667" s="488"/>
      <c r="B667" s="489"/>
      <c r="C667" s="489"/>
      <c r="D667" s="489"/>
      <c r="E667" s="489"/>
      <c r="F667" s="489"/>
      <c r="G667" s="489"/>
      <c r="H667" s="489"/>
      <c r="I667" s="489"/>
      <c r="J667" s="490"/>
    </row>
    <row r="668" spans="1:10" x14ac:dyDescent="0.25">
      <c r="A668" s="488"/>
      <c r="B668" s="489"/>
      <c r="C668" s="489"/>
      <c r="D668" s="489"/>
      <c r="E668" s="489"/>
      <c r="F668" s="489"/>
      <c r="G668" s="489"/>
      <c r="H668" s="489"/>
      <c r="I668" s="489"/>
      <c r="J668" s="490"/>
    </row>
    <row r="669" spans="1:10" x14ac:dyDescent="0.25">
      <c r="A669" s="488"/>
      <c r="B669" s="489"/>
      <c r="C669" s="489"/>
      <c r="D669" s="489"/>
      <c r="E669" s="489"/>
      <c r="F669" s="489"/>
      <c r="G669" s="489"/>
      <c r="H669" s="489"/>
      <c r="I669" s="489"/>
      <c r="J669" s="490"/>
    </row>
    <row r="670" spans="1:10" x14ac:dyDescent="0.25">
      <c r="A670" s="488"/>
      <c r="B670" s="489"/>
      <c r="C670" s="489"/>
      <c r="D670" s="489"/>
      <c r="E670" s="489"/>
      <c r="F670" s="489"/>
      <c r="G670" s="489"/>
      <c r="H670" s="489"/>
      <c r="I670" s="489"/>
      <c r="J670" s="490"/>
    </row>
    <row r="671" spans="1:10" x14ac:dyDescent="0.25">
      <c r="A671" s="488"/>
      <c r="B671" s="489"/>
      <c r="C671" s="489"/>
      <c r="D671" s="489"/>
      <c r="E671" s="489"/>
      <c r="F671" s="489"/>
      <c r="G671" s="489"/>
      <c r="H671" s="489"/>
      <c r="I671" s="489"/>
      <c r="J671" s="490"/>
    </row>
    <row r="672" spans="1:10" x14ac:dyDescent="0.25">
      <c r="A672" s="488"/>
      <c r="B672" s="489"/>
      <c r="C672" s="489"/>
      <c r="D672" s="489"/>
      <c r="E672" s="489"/>
      <c r="F672" s="489"/>
      <c r="G672" s="489"/>
      <c r="H672" s="489"/>
      <c r="I672" s="489"/>
      <c r="J672" s="490"/>
    </row>
    <row r="673" spans="1:10" x14ac:dyDescent="0.25">
      <c r="A673" s="488"/>
      <c r="B673" s="489"/>
      <c r="C673" s="489"/>
      <c r="D673" s="489"/>
      <c r="E673" s="489"/>
      <c r="F673" s="489"/>
      <c r="G673" s="489"/>
      <c r="H673" s="489"/>
      <c r="I673" s="489"/>
      <c r="J673" s="490"/>
    </row>
    <row r="674" spans="1:10" x14ac:dyDescent="0.25">
      <c r="A674" s="488"/>
      <c r="B674" s="489"/>
      <c r="C674" s="489"/>
      <c r="D674" s="489"/>
      <c r="E674" s="489"/>
      <c r="F674" s="489"/>
      <c r="G674" s="489"/>
      <c r="H674" s="489"/>
      <c r="I674" s="489"/>
      <c r="J674" s="490"/>
    </row>
    <row r="675" spans="1:10" x14ac:dyDescent="0.25">
      <c r="A675" s="488"/>
      <c r="B675" s="489"/>
      <c r="C675" s="489"/>
      <c r="D675" s="489"/>
      <c r="E675" s="489"/>
      <c r="F675" s="489"/>
      <c r="G675" s="489"/>
      <c r="H675" s="489"/>
      <c r="I675" s="489"/>
      <c r="J675" s="490"/>
    </row>
    <row r="676" spans="1:10" x14ac:dyDescent="0.25">
      <c r="A676" s="488"/>
      <c r="B676" s="489"/>
      <c r="C676" s="489"/>
      <c r="D676" s="489"/>
      <c r="E676" s="489"/>
      <c r="F676" s="489"/>
      <c r="G676" s="489"/>
      <c r="H676" s="489"/>
      <c r="I676" s="489"/>
      <c r="J676" s="490"/>
    </row>
    <row r="677" spans="1:10" x14ac:dyDescent="0.25">
      <c r="A677" s="488"/>
      <c r="B677" s="489"/>
      <c r="C677" s="489"/>
      <c r="D677" s="489"/>
      <c r="E677" s="489"/>
      <c r="F677" s="489"/>
      <c r="G677" s="489"/>
      <c r="H677" s="489"/>
      <c r="I677" s="489"/>
      <c r="J677" s="490"/>
    </row>
    <row r="678" spans="1:10" x14ac:dyDescent="0.25">
      <c r="A678" s="488"/>
      <c r="B678" s="489"/>
      <c r="C678" s="489"/>
      <c r="D678" s="489"/>
      <c r="E678" s="489"/>
      <c r="F678" s="489"/>
      <c r="G678" s="489"/>
      <c r="H678" s="489"/>
      <c r="I678" s="489"/>
      <c r="J678" s="490"/>
    </row>
    <row r="679" spans="1:10" x14ac:dyDescent="0.25">
      <c r="A679" s="488"/>
      <c r="B679" s="489"/>
      <c r="C679" s="489"/>
      <c r="D679" s="489"/>
      <c r="E679" s="489"/>
      <c r="F679" s="489"/>
      <c r="G679" s="489"/>
      <c r="H679" s="489"/>
      <c r="I679" s="489"/>
      <c r="J679" s="490"/>
    </row>
    <row r="680" spans="1:10" x14ac:dyDescent="0.25">
      <c r="A680" s="488"/>
      <c r="B680" s="489"/>
      <c r="C680" s="489"/>
      <c r="D680" s="489"/>
      <c r="E680" s="489"/>
      <c r="F680" s="489"/>
      <c r="G680" s="489"/>
      <c r="H680" s="489"/>
      <c r="I680" s="489"/>
      <c r="J680" s="490"/>
    </row>
    <row r="681" spans="1:10" x14ac:dyDescent="0.25">
      <c r="A681" s="488"/>
      <c r="B681" s="489"/>
      <c r="C681" s="489"/>
      <c r="D681" s="489"/>
      <c r="E681" s="489"/>
      <c r="F681" s="489"/>
      <c r="G681" s="489"/>
      <c r="H681" s="489"/>
      <c r="I681" s="489"/>
      <c r="J681" s="490"/>
    </row>
    <row r="682" spans="1:10" x14ac:dyDescent="0.25">
      <c r="A682" s="488"/>
      <c r="B682" s="489"/>
      <c r="C682" s="489"/>
      <c r="D682" s="489"/>
      <c r="E682" s="489"/>
      <c r="F682" s="489"/>
      <c r="G682" s="489"/>
      <c r="H682" s="489"/>
      <c r="I682" s="489"/>
      <c r="J682" s="490"/>
    </row>
    <row r="683" spans="1:10" x14ac:dyDescent="0.25">
      <c r="A683" s="488"/>
      <c r="B683" s="489"/>
      <c r="C683" s="489"/>
      <c r="D683" s="489"/>
      <c r="E683" s="489"/>
      <c r="F683" s="489"/>
      <c r="G683" s="489"/>
      <c r="H683" s="489"/>
      <c r="I683" s="489"/>
      <c r="J683" s="490"/>
    </row>
    <row r="684" spans="1:10" x14ac:dyDescent="0.25">
      <c r="A684" s="488"/>
      <c r="B684" s="489"/>
      <c r="C684" s="489"/>
      <c r="D684" s="489"/>
      <c r="E684" s="489"/>
      <c r="F684" s="489"/>
      <c r="G684" s="489"/>
      <c r="H684" s="489"/>
      <c r="I684" s="489"/>
      <c r="J684" s="490"/>
    </row>
    <row r="685" spans="1:10" x14ac:dyDescent="0.25">
      <c r="A685" s="488"/>
      <c r="B685" s="489"/>
      <c r="C685" s="489"/>
      <c r="D685" s="489"/>
      <c r="E685" s="489"/>
      <c r="F685" s="489"/>
      <c r="G685" s="489"/>
      <c r="H685" s="489"/>
      <c r="I685" s="489"/>
      <c r="J685" s="490"/>
    </row>
    <row r="686" spans="1:10" x14ac:dyDescent="0.25">
      <c r="A686" s="488"/>
      <c r="B686" s="489"/>
      <c r="C686" s="489"/>
      <c r="D686" s="489"/>
      <c r="E686" s="489"/>
      <c r="F686" s="489"/>
      <c r="G686" s="489"/>
      <c r="H686" s="489"/>
      <c r="I686" s="489"/>
      <c r="J686" s="490"/>
    </row>
    <row r="687" spans="1:10" x14ac:dyDescent="0.25">
      <c r="A687" s="488"/>
      <c r="B687" s="489"/>
      <c r="C687" s="489"/>
      <c r="D687" s="489"/>
      <c r="E687" s="489"/>
      <c r="F687" s="489"/>
      <c r="G687" s="489"/>
      <c r="H687" s="489"/>
      <c r="I687" s="489"/>
      <c r="J687" s="490"/>
    </row>
    <row r="688" spans="1:10" x14ac:dyDescent="0.25">
      <c r="A688" s="488"/>
      <c r="B688" s="489"/>
      <c r="C688" s="489"/>
      <c r="D688" s="489"/>
      <c r="E688" s="489"/>
      <c r="F688" s="489"/>
      <c r="G688" s="489"/>
      <c r="H688" s="489"/>
      <c r="I688" s="489"/>
      <c r="J688" s="490"/>
    </row>
    <row r="689" spans="1:10" x14ac:dyDescent="0.25">
      <c r="A689" s="488"/>
      <c r="B689" s="489"/>
      <c r="C689" s="489"/>
      <c r="D689" s="489"/>
      <c r="E689" s="489"/>
      <c r="F689" s="489"/>
      <c r="G689" s="489"/>
      <c r="H689" s="489"/>
      <c r="I689" s="489"/>
      <c r="J689" s="490"/>
    </row>
    <row r="690" spans="1:10" x14ac:dyDescent="0.25">
      <c r="A690" s="488"/>
      <c r="B690" s="489"/>
      <c r="C690" s="489"/>
      <c r="D690" s="489"/>
      <c r="E690" s="489"/>
      <c r="F690" s="489"/>
      <c r="G690" s="489"/>
      <c r="H690" s="489"/>
      <c r="I690" s="489"/>
      <c r="J690" s="490"/>
    </row>
    <row r="691" spans="1:10" x14ac:dyDescent="0.25">
      <c r="A691" s="488"/>
      <c r="B691" s="489"/>
      <c r="C691" s="489"/>
      <c r="D691" s="489"/>
      <c r="E691" s="489"/>
      <c r="F691" s="489"/>
      <c r="G691" s="489"/>
      <c r="H691" s="489"/>
      <c r="I691" s="489"/>
      <c r="J691" s="490"/>
    </row>
    <row r="692" spans="1:10" x14ac:dyDescent="0.25">
      <c r="A692" s="491"/>
      <c r="B692" s="492"/>
      <c r="C692" s="492"/>
      <c r="D692" s="492"/>
      <c r="E692" s="492"/>
      <c r="F692" s="492"/>
      <c r="G692" s="492"/>
      <c r="H692" s="492"/>
      <c r="I692" s="492"/>
      <c r="J692" s="493"/>
    </row>
    <row r="694" spans="1:10" ht="15.6" x14ac:dyDescent="0.3">
      <c r="A694" s="355" t="s">
        <v>848</v>
      </c>
      <c r="B694" s="356"/>
      <c r="C694" s="356"/>
      <c r="D694" s="356"/>
      <c r="E694" s="356"/>
      <c r="F694" s="356"/>
      <c r="G694" s="356"/>
      <c r="H694" s="353" t="str">
        <f>'CONTACT INFORMATION'!$A$24</f>
        <v>Alameda</v>
      </c>
      <c r="I694" s="353"/>
      <c r="J694" s="354"/>
    </row>
    <row r="695" spans="1:10" ht="8.1" customHeight="1" x14ac:dyDescent="0.25">
      <c r="A695" s="163"/>
      <c r="B695" s="163"/>
      <c r="C695" s="163"/>
      <c r="D695" s="163"/>
      <c r="E695" s="163"/>
      <c r="F695" s="163"/>
      <c r="G695" s="163"/>
      <c r="H695" s="163"/>
      <c r="I695" s="163"/>
      <c r="J695" s="163"/>
    </row>
    <row r="696" spans="1:10" ht="13.8" x14ac:dyDescent="0.25">
      <c r="A696" s="466" t="s">
        <v>865</v>
      </c>
      <c r="B696" s="467"/>
      <c r="C696" s="467"/>
      <c r="D696" s="467"/>
      <c r="E696" s="467"/>
      <c r="F696" s="467"/>
      <c r="G696" s="467"/>
      <c r="H696" s="467"/>
      <c r="I696" s="467"/>
      <c r="J696" s="468"/>
    </row>
    <row r="697" spans="1:10" x14ac:dyDescent="0.25">
      <c r="A697" s="463" t="s">
        <v>854</v>
      </c>
      <c r="B697" s="464"/>
      <c r="C697" s="464"/>
      <c r="D697" s="465"/>
      <c r="E697" s="544" t="s">
        <v>949</v>
      </c>
      <c r="F697" s="545"/>
      <c r="G697" s="545"/>
      <c r="H697" s="545"/>
      <c r="I697" s="545"/>
      <c r="J697" s="546"/>
    </row>
    <row r="698" spans="1:10" x14ac:dyDescent="0.25">
      <c r="A698" s="503" t="s">
        <v>853</v>
      </c>
      <c r="B698" s="504"/>
      <c r="C698" s="504"/>
      <c r="D698" s="505"/>
      <c r="E698" s="547"/>
      <c r="F698" s="548"/>
      <c r="G698" s="548"/>
      <c r="H698" s="548"/>
      <c r="I698" s="548"/>
      <c r="J698" s="549"/>
    </row>
    <row r="699" spans="1:10" x14ac:dyDescent="0.25">
      <c r="A699" s="541" t="s">
        <v>808</v>
      </c>
      <c r="B699" s="542"/>
      <c r="C699" s="542"/>
      <c r="D699" s="543"/>
      <c r="E699" s="479" t="s">
        <v>510</v>
      </c>
      <c r="F699" s="480"/>
      <c r="G699" s="480"/>
      <c r="H699" s="480"/>
      <c r="I699" s="480"/>
      <c r="J699" s="481"/>
    </row>
    <row r="700" spans="1:10" ht="27" customHeight="1" x14ac:dyDescent="0.25">
      <c r="A700" s="157"/>
      <c r="B700" s="208"/>
      <c r="C700" s="208"/>
      <c r="D700" s="208"/>
      <c r="E700" s="482" t="s">
        <v>535</v>
      </c>
      <c r="F700" s="483"/>
      <c r="G700" s="482" t="s">
        <v>533</v>
      </c>
      <c r="H700" s="483"/>
      <c r="I700" s="484" t="s">
        <v>849</v>
      </c>
      <c r="J700" s="485"/>
    </row>
    <row r="701" spans="1:10" x14ac:dyDescent="0.25">
      <c r="A701" s="448" t="s">
        <v>527</v>
      </c>
      <c r="B701" s="449"/>
      <c r="C701" s="449"/>
      <c r="D701" s="450"/>
      <c r="E701" s="456"/>
      <c r="F701" s="456"/>
      <c r="G701" s="456"/>
      <c r="H701" s="456"/>
      <c r="I701" s="457"/>
      <c r="J701" s="457"/>
    </row>
    <row r="702" spans="1:10" x14ac:dyDescent="0.25">
      <c r="A702" s="452" t="s">
        <v>528</v>
      </c>
      <c r="B702" s="453"/>
      <c r="C702" s="453"/>
      <c r="D702" s="454"/>
      <c r="E702" s="439"/>
      <c r="F702" s="439"/>
      <c r="G702" s="440"/>
      <c r="H702" s="440"/>
      <c r="I702" s="455"/>
      <c r="J702" s="455"/>
    </row>
    <row r="703" spans="1:10" x14ac:dyDescent="0.25">
      <c r="A703" s="448" t="s">
        <v>529</v>
      </c>
      <c r="B703" s="449"/>
      <c r="C703" s="449"/>
      <c r="D703" s="450"/>
      <c r="E703" s="456">
        <v>108250</v>
      </c>
      <c r="F703" s="456"/>
      <c r="G703" s="456"/>
      <c r="H703" s="456"/>
      <c r="I703" s="457"/>
      <c r="J703" s="457"/>
    </row>
    <row r="704" spans="1:10" x14ac:dyDescent="0.25">
      <c r="A704" s="452" t="s">
        <v>530</v>
      </c>
      <c r="B704" s="453"/>
      <c r="C704" s="453"/>
      <c r="D704" s="454"/>
      <c r="E704" s="439"/>
      <c r="F704" s="439"/>
      <c r="G704" s="440"/>
      <c r="H704" s="440"/>
      <c r="I704" s="455"/>
      <c r="J704" s="455"/>
    </row>
    <row r="705" spans="1:10" x14ac:dyDescent="0.25">
      <c r="A705" s="448" t="s">
        <v>531</v>
      </c>
      <c r="B705" s="449"/>
      <c r="C705" s="449"/>
      <c r="D705" s="450"/>
      <c r="E705" s="456"/>
      <c r="F705" s="456"/>
      <c r="G705" s="456"/>
      <c r="H705" s="456"/>
      <c r="I705" s="457"/>
      <c r="J705" s="457"/>
    </row>
    <row r="706" spans="1:10" x14ac:dyDescent="0.25">
      <c r="A706" s="452" t="s">
        <v>532</v>
      </c>
      <c r="B706" s="453"/>
      <c r="C706" s="453"/>
      <c r="D706" s="454"/>
      <c r="E706" s="439"/>
      <c r="F706" s="439"/>
      <c r="G706" s="440"/>
      <c r="H706" s="440"/>
      <c r="I706" s="455"/>
      <c r="J706" s="455"/>
    </row>
    <row r="707" spans="1:10" x14ac:dyDescent="0.25">
      <c r="A707" s="448" t="s">
        <v>537</v>
      </c>
      <c r="B707" s="449"/>
      <c r="C707" s="449"/>
      <c r="D707" s="450"/>
      <c r="E707" s="451"/>
      <c r="F707" s="451"/>
      <c r="G707" s="451"/>
      <c r="H707" s="451"/>
      <c r="I707" s="445"/>
      <c r="J707" s="445"/>
    </row>
    <row r="708" spans="1:10" x14ac:dyDescent="0.25">
      <c r="A708" s="436"/>
      <c r="B708" s="437"/>
      <c r="C708" s="437"/>
      <c r="D708" s="438"/>
      <c r="E708" s="439"/>
      <c r="F708" s="439"/>
      <c r="G708" s="440"/>
      <c r="H708" s="440"/>
      <c r="I708" s="440"/>
      <c r="J708" s="440"/>
    </row>
    <row r="709" spans="1:10" x14ac:dyDescent="0.25">
      <c r="A709" s="436"/>
      <c r="B709" s="437"/>
      <c r="C709" s="437"/>
      <c r="D709" s="438"/>
      <c r="E709" s="439"/>
      <c r="F709" s="439"/>
      <c r="G709" s="440"/>
      <c r="H709" s="440"/>
      <c r="I709" s="440"/>
      <c r="J709" s="440"/>
    </row>
    <row r="710" spans="1:10" x14ac:dyDescent="0.25">
      <c r="A710" s="436"/>
      <c r="B710" s="437"/>
      <c r="C710" s="437"/>
      <c r="D710" s="438"/>
      <c r="E710" s="439"/>
      <c r="F710" s="439"/>
      <c r="G710" s="440"/>
      <c r="H710" s="440"/>
      <c r="I710" s="440"/>
      <c r="J710" s="440"/>
    </row>
    <row r="711" spans="1:10" x14ac:dyDescent="0.25">
      <c r="A711" s="441" t="s">
        <v>534</v>
      </c>
      <c r="B711" s="442"/>
      <c r="C711" s="442"/>
      <c r="D711" s="443"/>
      <c r="E711" s="444">
        <f>SUM(E701:E710)</f>
        <v>108250</v>
      </c>
      <c r="F711" s="444"/>
      <c r="G711" s="444">
        <f>SUM(G701:G710)</f>
        <v>0</v>
      </c>
      <c r="H711" s="444"/>
      <c r="I711" s="444">
        <f>SUM(I701:I710)</f>
        <v>0</v>
      </c>
      <c r="J711" s="444"/>
    </row>
    <row r="712" spans="1:10" x14ac:dyDescent="0.25">
      <c r="A712" s="494" t="s">
        <v>861</v>
      </c>
      <c r="B712" s="495"/>
      <c r="C712" s="495"/>
      <c r="D712" s="495"/>
      <c r="E712" s="495"/>
      <c r="F712" s="495"/>
      <c r="G712" s="495"/>
      <c r="H712" s="495"/>
      <c r="I712" s="495"/>
      <c r="J712" s="496"/>
    </row>
    <row r="713" spans="1:10" x14ac:dyDescent="0.25">
      <c r="A713" s="497" t="s">
        <v>862</v>
      </c>
      <c r="B713" s="498"/>
      <c r="C713" s="498"/>
      <c r="D713" s="498"/>
      <c r="E713" s="498"/>
      <c r="F713" s="498"/>
      <c r="G713" s="498"/>
      <c r="H713" s="498"/>
      <c r="I713" s="498"/>
      <c r="J713" s="499"/>
    </row>
    <row r="714" spans="1:10" x14ac:dyDescent="0.25">
      <c r="A714" s="497" t="s">
        <v>863</v>
      </c>
      <c r="B714" s="498"/>
      <c r="C714" s="498"/>
      <c r="D714" s="498"/>
      <c r="E714" s="498"/>
      <c r="F714" s="498"/>
      <c r="G714" s="498"/>
      <c r="H714" s="498"/>
      <c r="I714" s="498"/>
      <c r="J714" s="499"/>
    </row>
    <row r="715" spans="1:10" x14ac:dyDescent="0.25">
      <c r="A715" s="500" t="s">
        <v>864</v>
      </c>
      <c r="B715" s="501"/>
      <c r="C715" s="501"/>
      <c r="D715" s="501"/>
      <c r="E715" s="501"/>
      <c r="F715" s="501"/>
      <c r="G715" s="501"/>
      <c r="H715" s="501"/>
      <c r="I715" s="501"/>
      <c r="J715" s="502"/>
    </row>
    <row r="716" spans="1:10" ht="13.2" customHeight="1" x14ac:dyDescent="0.25">
      <c r="A716" s="305" t="s">
        <v>950</v>
      </c>
      <c r="B716" s="486"/>
      <c r="C716" s="486"/>
      <c r="D716" s="486"/>
      <c r="E716" s="486"/>
      <c r="F716" s="486"/>
      <c r="G716" s="486"/>
      <c r="H716" s="486"/>
      <c r="I716" s="486"/>
      <c r="J716" s="487"/>
    </row>
    <row r="717" spans="1:10" x14ac:dyDescent="0.25">
      <c r="A717" s="488"/>
      <c r="B717" s="489"/>
      <c r="C717" s="489"/>
      <c r="D717" s="489"/>
      <c r="E717" s="489"/>
      <c r="F717" s="489"/>
      <c r="G717" s="489"/>
      <c r="H717" s="489"/>
      <c r="I717" s="489"/>
      <c r="J717" s="490"/>
    </row>
    <row r="718" spans="1:10" x14ac:dyDescent="0.25">
      <c r="A718" s="488"/>
      <c r="B718" s="489"/>
      <c r="C718" s="489"/>
      <c r="D718" s="489"/>
      <c r="E718" s="489"/>
      <c r="F718" s="489"/>
      <c r="G718" s="489"/>
      <c r="H718" s="489"/>
      <c r="I718" s="489"/>
      <c r="J718" s="490"/>
    </row>
    <row r="719" spans="1:10" x14ac:dyDescent="0.25">
      <c r="A719" s="488"/>
      <c r="B719" s="489"/>
      <c r="C719" s="489"/>
      <c r="D719" s="489"/>
      <c r="E719" s="489"/>
      <c r="F719" s="489"/>
      <c r="G719" s="489"/>
      <c r="H719" s="489"/>
      <c r="I719" s="489"/>
      <c r="J719" s="490"/>
    </row>
    <row r="720" spans="1:10" x14ac:dyDescent="0.25">
      <c r="A720" s="488"/>
      <c r="B720" s="489"/>
      <c r="C720" s="489"/>
      <c r="D720" s="489"/>
      <c r="E720" s="489"/>
      <c r="F720" s="489"/>
      <c r="G720" s="489"/>
      <c r="H720" s="489"/>
      <c r="I720" s="489"/>
      <c r="J720" s="490"/>
    </row>
    <row r="721" spans="1:10" x14ac:dyDescent="0.25">
      <c r="A721" s="488"/>
      <c r="B721" s="489"/>
      <c r="C721" s="489"/>
      <c r="D721" s="489"/>
      <c r="E721" s="489"/>
      <c r="F721" s="489"/>
      <c r="G721" s="489"/>
      <c r="H721" s="489"/>
      <c r="I721" s="489"/>
      <c r="J721" s="490"/>
    </row>
    <row r="722" spans="1:10" x14ac:dyDescent="0.25">
      <c r="A722" s="488"/>
      <c r="B722" s="489"/>
      <c r="C722" s="489"/>
      <c r="D722" s="489"/>
      <c r="E722" s="489"/>
      <c r="F722" s="489"/>
      <c r="G722" s="489"/>
      <c r="H722" s="489"/>
      <c r="I722" s="489"/>
      <c r="J722" s="490"/>
    </row>
    <row r="723" spans="1:10" x14ac:dyDescent="0.25">
      <c r="A723" s="488"/>
      <c r="B723" s="489"/>
      <c r="C723" s="489"/>
      <c r="D723" s="489"/>
      <c r="E723" s="489"/>
      <c r="F723" s="489"/>
      <c r="G723" s="489"/>
      <c r="H723" s="489"/>
      <c r="I723" s="489"/>
      <c r="J723" s="490"/>
    </row>
    <row r="724" spans="1:10" x14ac:dyDescent="0.25">
      <c r="A724" s="488"/>
      <c r="B724" s="489"/>
      <c r="C724" s="489"/>
      <c r="D724" s="489"/>
      <c r="E724" s="489"/>
      <c r="F724" s="489"/>
      <c r="G724" s="489"/>
      <c r="H724" s="489"/>
      <c r="I724" s="489"/>
      <c r="J724" s="490"/>
    </row>
    <row r="725" spans="1:10" x14ac:dyDescent="0.25">
      <c r="A725" s="488"/>
      <c r="B725" s="489"/>
      <c r="C725" s="489"/>
      <c r="D725" s="489"/>
      <c r="E725" s="489"/>
      <c r="F725" s="489"/>
      <c r="G725" s="489"/>
      <c r="H725" s="489"/>
      <c r="I725" s="489"/>
      <c r="J725" s="490"/>
    </row>
    <row r="726" spans="1:10" x14ac:dyDescent="0.25">
      <c r="A726" s="488"/>
      <c r="B726" s="489"/>
      <c r="C726" s="489"/>
      <c r="D726" s="489"/>
      <c r="E726" s="489"/>
      <c r="F726" s="489"/>
      <c r="G726" s="489"/>
      <c r="H726" s="489"/>
      <c r="I726" s="489"/>
      <c r="J726" s="490"/>
    </row>
    <row r="727" spans="1:10" x14ac:dyDescent="0.25">
      <c r="A727" s="488"/>
      <c r="B727" s="489"/>
      <c r="C727" s="489"/>
      <c r="D727" s="489"/>
      <c r="E727" s="489"/>
      <c r="F727" s="489"/>
      <c r="G727" s="489"/>
      <c r="H727" s="489"/>
      <c r="I727" s="489"/>
      <c r="J727" s="490"/>
    </row>
    <row r="728" spans="1:10" x14ac:dyDescent="0.25">
      <c r="A728" s="488"/>
      <c r="B728" s="489"/>
      <c r="C728" s="489"/>
      <c r="D728" s="489"/>
      <c r="E728" s="489"/>
      <c r="F728" s="489"/>
      <c r="G728" s="489"/>
      <c r="H728" s="489"/>
      <c r="I728" s="489"/>
      <c r="J728" s="490"/>
    </row>
    <row r="729" spans="1:10" x14ac:dyDescent="0.25">
      <c r="A729" s="488"/>
      <c r="B729" s="489"/>
      <c r="C729" s="489"/>
      <c r="D729" s="489"/>
      <c r="E729" s="489"/>
      <c r="F729" s="489"/>
      <c r="G729" s="489"/>
      <c r="H729" s="489"/>
      <c r="I729" s="489"/>
      <c r="J729" s="490"/>
    </row>
    <row r="730" spans="1:10" x14ac:dyDescent="0.25">
      <c r="A730" s="488"/>
      <c r="B730" s="489"/>
      <c r="C730" s="489"/>
      <c r="D730" s="489"/>
      <c r="E730" s="489"/>
      <c r="F730" s="489"/>
      <c r="G730" s="489"/>
      <c r="H730" s="489"/>
      <c r="I730" s="489"/>
      <c r="J730" s="490"/>
    </row>
    <row r="731" spans="1:10" x14ac:dyDescent="0.25">
      <c r="A731" s="488"/>
      <c r="B731" s="489"/>
      <c r="C731" s="489"/>
      <c r="D731" s="489"/>
      <c r="E731" s="489"/>
      <c r="F731" s="489"/>
      <c r="G731" s="489"/>
      <c r="H731" s="489"/>
      <c r="I731" s="489"/>
      <c r="J731" s="490"/>
    </row>
    <row r="732" spans="1:10" x14ac:dyDescent="0.25">
      <c r="A732" s="488"/>
      <c r="B732" s="489"/>
      <c r="C732" s="489"/>
      <c r="D732" s="489"/>
      <c r="E732" s="489"/>
      <c r="F732" s="489"/>
      <c r="G732" s="489"/>
      <c r="H732" s="489"/>
      <c r="I732" s="489"/>
      <c r="J732" s="490"/>
    </row>
    <row r="733" spans="1:10" x14ac:dyDescent="0.25">
      <c r="A733" s="488"/>
      <c r="B733" s="489"/>
      <c r="C733" s="489"/>
      <c r="D733" s="489"/>
      <c r="E733" s="489"/>
      <c r="F733" s="489"/>
      <c r="G733" s="489"/>
      <c r="H733" s="489"/>
      <c r="I733" s="489"/>
      <c r="J733" s="490"/>
    </row>
    <row r="734" spans="1:10" x14ac:dyDescent="0.25">
      <c r="A734" s="488"/>
      <c r="B734" s="489"/>
      <c r="C734" s="489"/>
      <c r="D734" s="489"/>
      <c r="E734" s="489"/>
      <c r="F734" s="489"/>
      <c r="G734" s="489"/>
      <c r="H734" s="489"/>
      <c r="I734" s="489"/>
      <c r="J734" s="490"/>
    </row>
    <row r="735" spans="1:10" x14ac:dyDescent="0.25">
      <c r="A735" s="488"/>
      <c r="B735" s="489"/>
      <c r="C735" s="489"/>
      <c r="D735" s="489"/>
      <c r="E735" s="489"/>
      <c r="F735" s="489"/>
      <c r="G735" s="489"/>
      <c r="H735" s="489"/>
      <c r="I735" s="489"/>
      <c r="J735" s="490"/>
    </row>
    <row r="736" spans="1:10" x14ac:dyDescent="0.25">
      <c r="A736" s="488"/>
      <c r="B736" s="489"/>
      <c r="C736" s="489"/>
      <c r="D736" s="489"/>
      <c r="E736" s="489"/>
      <c r="F736" s="489"/>
      <c r="G736" s="489"/>
      <c r="H736" s="489"/>
      <c r="I736" s="489"/>
      <c r="J736" s="490"/>
    </row>
    <row r="737" spans="1:10" x14ac:dyDescent="0.25">
      <c r="A737" s="488"/>
      <c r="B737" s="489"/>
      <c r="C737" s="489"/>
      <c r="D737" s="489"/>
      <c r="E737" s="489"/>
      <c r="F737" s="489"/>
      <c r="G737" s="489"/>
      <c r="H737" s="489"/>
      <c r="I737" s="489"/>
      <c r="J737" s="490"/>
    </row>
    <row r="738" spans="1:10" x14ac:dyDescent="0.25">
      <c r="A738" s="488"/>
      <c r="B738" s="489"/>
      <c r="C738" s="489"/>
      <c r="D738" s="489"/>
      <c r="E738" s="489"/>
      <c r="F738" s="489"/>
      <c r="G738" s="489"/>
      <c r="H738" s="489"/>
      <c r="I738" s="489"/>
      <c r="J738" s="490"/>
    </row>
    <row r="739" spans="1:10" x14ac:dyDescent="0.25">
      <c r="A739" s="488"/>
      <c r="B739" s="489"/>
      <c r="C739" s="489"/>
      <c r="D739" s="489"/>
      <c r="E739" s="489"/>
      <c r="F739" s="489"/>
      <c r="G739" s="489"/>
      <c r="H739" s="489"/>
      <c r="I739" s="489"/>
      <c r="J739" s="490"/>
    </row>
    <row r="740" spans="1:10" x14ac:dyDescent="0.25">
      <c r="A740" s="488"/>
      <c r="B740" s="489"/>
      <c r="C740" s="489"/>
      <c r="D740" s="489"/>
      <c r="E740" s="489"/>
      <c r="F740" s="489"/>
      <c r="G740" s="489"/>
      <c r="H740" s="489"/>
      <c r="I740" s="489"/>
      <c r="J740" s="490"/>
    </row>
    <row r="741" spans="1:10" x14ac:dyDescent="0.25">
      <c r="A741" s="488"/>
      <c r="B741" s="489"/>
      <c r="C741" s="489"/>
      <c r="D741" s="489"/>
      <c r="E741" s="489"/>
      <c r="F741" s="489"/>
      <c r="G741" s="489"/>
      <c r="H741" s="489"/>
      <c r="I741" s="489"/>
      <c r="J741" s="490"/>
    </row>
    <row r="742" spans="1:10" x14ac:dyDescent="0.25">
      <c r="A742" s="488"/>
      <c r="B742" s="489"/>
      <c r="C742" s="489"/>
      <c r="D742" s="489"/>
      <c r="E742" s="489"/>
      <c r="F742" s="489"/>
      <c r="G742" s="489"/>
      <c r="H742" s="489"/>
      <c r="I742" s="489"/>
      <c r="J742" s="490"/>
    </row>
    <row r="743" spans="1:10" x14ac:dyDescent="0.25">
      <c r="A743" s="488"/>
      <c r="B743" s="489"/>
      <c r="C743" s="489"/>
      <c r="D743" s="489"/>
      <c r="E743" s="489"/>
      <c r="F743" s="489"/>
      <c r="G743" s="489"/>
      <c r="H743" s="489"/>
      <c r="I743" s="489"/>
      <c r="J743" s="490"/>
    </row>
    <row r="744" spans="1:10" x14ac:dyDescent="0.25">
      <c r="A744" s="488"/>
      <c r="B744" s="489"/>
      <c r="C744" s="489"/>
      <c r="D744" s="489"/>
      <c r="E744" s="489"/>
      <c r="F744" s="489"/>
      <c r="G744" s="489"/>
      <c r="H744" s="489"/>
      <c r="I744" s="489"/>
      <c r="J744" s="490"/>
    </row>
    <row r="745" spans="1:10" x14ac:dyDescent="0.25">
      <c r="A745" s="488"/>
      <c r="B745" s="489"/>
      <c r="C745" s="489"/>
      <c r="D745" s="489"/>
      <c r="E745" s="489"/>
      <c r="F745" s="489"/>
      <c r="G745" s="489"/>
      <c r="H745" s="489"/>
      <c r="I745" s="489"/>
      <c r="J745" s="490"/>
    </row>
    <row r="746" spans="1:10" x14ac:dyDescent="0.25">
      <c r="A746" s="488"/>
      <c r="B746" s="489"/>
      <c r="C746" s="489"/>
      <c r="D746" s="489"/>
      <c r="E746" s="489"/>
      <c r="F746" s="489"/>
      <c r="G746" s="489"/>
      <c r="H746" s="489"/>
      <c r="I746" s="489"/>
      <c r="J746" s="490"/>
    </row>
    <row r="747" spans="1:10" x14ac:dyDescent="0.25">
      <c r="A747" s="488"/>
      <c r="B747" s="489"/>
      <c r="C747" s="489"/>
      <c r="D747" s="489"/>
      <c r="E747" s="489"/>
      <c r="F747" s="489"/>
      <c r="G747" s="489"/>
      <c r="H747" s="489"/>
      <c r="I747" s="489"/>
      <c r="J747" s="490"/>
    </row>
    <row r="748" spans="1:10" x14ac:dyDescent="0.25">
      <c r="A748" s="488"/>
      <c r="B748" s="489"/>
      <c r="C748" s="489"/>
      <c r="D748" s="489"/>
      <c r="E748" s="489"/>
      <c r="F748" s="489"/>
      <c r="G748" s="489"/>
      <c r="H748" s="489"/>
      <c r="I748" s="489"/>
      <c r="J748" s="490"/>
    </row>
    <row r="749" spans="1:10" x14ac:dyDescent="0.25">
      <c r="A749" s="488"/>
      <c r="B749" s="489"/>
      <c r="C749" s="489"/>
      <c r="D749" s="489"/>
      <c r="E749" s="489"/>
      <c r="F749" s="489"/>
      <c r="G749" s="489"/>
      <c r="H749" s="489"/>
      <c r="I749" s="489"/>
      <c r="J749" s="490"/>
    </row>
    <row r="750" spans="1:10" x14ac:dyDescent="0.25">
      <c r="A750" s="491"/>
      <c r="B750" s="492"/>
      <c r="C750" s="492"/>
      <c r="D750" s="492"/>
      <c r="E750" s="492"/>
      <c r="F750" s="492"/>
      <c r="G750" s="492"/>
      <c r="H750" s="492"/>
      <c r="I750" s="492"/>
      <c r="J750" s="493"/>
    </row>
    <row r="752" spans="1:10" ht="15.6" x14ac:dyDescent="0.3">
      <c r="A752" s="355" t="s">
        <v>848</v>
      </c>
      <c r="B752" s="356"/>
      <c r="C752" s="356"/>
      <c r="D752" s="356"/>
      <c r="E752" s="356"/>
      <c r="F752" s="356"/>
      <c r="G752" s="356"/>
      <c r="H752" s="353" t="str">
        <f>'CONTACT INFORMATION'!$A$24</f>
        <v>Alameda</v>
      </c>
      <c r="I752" s="353"/>
      <c r="J752" s="354"/>
    </row>
    <row r="753" spans="1:10" ht="8.1" customHeight="1" x14ac:dyDescent="0.25">
      <c r="A753" s="163"/>
      <c r="B753" s="163"/>
      <c r="C753" s="163"/>
      <c r="D753" s="163"/>
      <c r="E753" s="163"/>
      <c r="F753" s="163"/>
      <c r="G753" s="163"/>
      <c r="H753" s="163"/>
      <c r="I753" s="163"/>
      <c r="J753" s="163"/>
    </row>
    <row r="754" spans="1:10" ht="13.8" x14ac:dyDescent="0.25">
      <c r="A754" s="466" t="s">
        <v>866</v>
      </c>
      <c r="B754" s="467"/>
      <c r="C754" s="467"/>
      <c r="D754" s="467"/>
      <c r="E754" s="467"/>
      <c r="F754" s="467"/>
      <c r="G754" s="467"/>
      <c r="H754" s="467"/>
      <c r="I754" s="467"/>
      <c r="J754" s="468"/>
    </row>
    <row r="755" spans="1:10" x14ac:dyDescent="0.25">
      <c r="A755" s="463" t="s">
        <v>854</v>
      </c>
      <c r="B755" s="464"/>
      <c r="C755" s="464"/>
      <c r="D755" s="465"/>
      <c r="E755" s="544" t="s">
        <v>951</v>
      </c>
      <c r="F755" s="545"/>
      <c r="G755" s="545"/>
      <c r="H755" s="545"/>
      <c r="I755" s="545"/>
      <c r="J755" s="546"/>
    </row>
    <row r="756" spans="1:10" x14ac:dyDescent="0.25">
      <c r="A756" s="503" t="s">
        <v>853</v>
      </c>
      <c r="B756" s="504"/>
      <c r="C756" s="504"/>
      <c r="D756" s="505"/>
      <c r="E756" s="547"/>
      <c r="F756" s="548"/>
      <c r="G756" s="548"/>
      <c r="H756" s="548"/>
      <c r="I756" s="548"/>
      <c r="J756" s="549"/>
    </row>
    <row r="757" spans="1:10" x14ac:dyDescent="0.25">
      <c r="A757" s="541" t="s">
        <v>808</v>
      </c>
      <c r="B757" s="542"/>
      <c r="C757" s="542"/>
      <c r="D757" s="543"/>
      <c r="E757" s="479" t="s">
        <v>510</v>
      </c>
      <c r="F757" s="480"/>
      <c r="G757" s="480"/>
      <c r="H757" s="480"/>
      <c r="I757" s="480"/>
      <c r="J757" s="481"/>
    </row>
    <row r="758" spans="1:10" ht="27" customHeight="1" x14ac:dyDescent="0.25">
      <c r="A758" s="157"/>
      <c r="B758" s="208"/>
      <c r="C758" s="208"/>
      <c r="D758" s="208"/>
      <c r="E758" s="482" t="s">
        <v>535</v>
      </c>
      <c r="F758" s="483"/>
      <c r="G758" s="482" t="s">
        <v>533</v>
      </c>
      <c r="H758" s="483"/>
      <c r="I758" s="484" t="s">
        <v>849</v>
      </c>
      <c r="J758" s="485"/>
    </row>
    <row r="759" spans="1:10" x14ac:dyDescent="0.25">
      <c r="A759" s="448" t="s">
        <v>527</v>
      </c>
      <c r="B759" s="449"/>
      <c r="C759" s="449"/>
      <c r="D759" s="450"/>
      <c r="E759" s="456"/>
      <c r="F759" s="456"/>
      <c r="G759" s="456"/>
      <c r="H759" s="456"/>
      <c r="I759" s="457"/>
      <c r="J759" s="457"/>
    </row>
    <row r="760" spans="1:10" x14ac:dyDescent="0.25">
      <c r="A760" s="452" t="s">
        <v>528</v>
      </c>
      <c r="B760" s="453"/>
      <c r="C760" s="453"/>
      <c r="D760" s="454"/>
      <c r="E760" s="439"/>
      <c r="F760" s="439"/>
      <c r="G760" s="440"/>
      <c r="H760" s="440"/>
      <c r="I760" s="455"/>
      <c r="J760" s="455"/>
    </row>
    <row r="761" spans="1:10" x14ac:dyDescent="0.25">
      <c r="A761" s="448" t="s">
        <v>529</v>
      </c>
      <c r="B761" s="449"/>
      <c r="C761" s="449"/>
      <c r="D761" s="450"/>
      <c r="E761" s="456">
        <v>212900</v>
      </c>
      <c r="F761" s="456"/>
      <c r="G761" s="456"/>
      <c r="H761" s="456"/>
      <c r="I761" s="457"/>
      <c r="J761" s="457"/>
    </row>
    <row r="762" spans="1:10" x14ac:dyDescent="0.25">
      <c r="A762" s="452" t="s">
        <v>530</v>
      </c>
      <c r="B762" s="453"/>
      <c r="C762" s="453"/>
      <c r="D762" s="454"/>
      <c r="E762" s="439"/>
      <c r="F762" s="439"/>
      <c r="G762" s="440"/>
      <c r="H762" s="440"/>
      <c r="I762" s="455"/>
      <c r="J762" s="455"/>
    </row>
    <row r="763" spans="1:10" x14ac:dyDescent="0.25">
      <c r="A763" s="448" t="s">
        <v>531</v>
      </c>
      <c r="B763" s="449"/>
      <c r="C763" s="449"/>
      <c r="D763" s="450"/>
      <c r="E763" s="456"/>
      <c r="F763" s="456"/>
      <c r="G763" s="456"/>
      <c r="H763" s="456"/>
      <c r="I763" s="457"/>
      <c r="J763" s="457"/>
    </row>
    <row r="764" spans="1:10" x14ac:dyDescent="0.25">
      <c r="A764" s="452" t="s">
        <v>532</v>
      </c>
      <c r="B764" s="453"/>
      <c r="C764" s="453"/>
      <c r="D764" s="454"/>
      <c r="E764" s="439"/>
      <c r="F764" s="439"/>
      <c r="G764" s="440"/>
      <c r="H764" s="440"/>
      <c r="I764" s="455"/>
      <c r="J764" s="455"/>
    </row>
    <row r="765" spans="1:10" x14ac:dyDescent="0.25">
      <c r="A765" s="448" t="s">
        <v>537</v>
      </c>
      <c r="B765" s="449"/>
      <c r="C765" s="449"/>
      <c r="D765" s="450"/>
      <c r="E765" s="451"/>
      <c r="F765" s="451"/>
      <c r="G765" s="451"/>
      <c r="H765" s="451"/>
      <c r="I765" s="445"/>
      <c r="J765" s="445"/>
    </row>
    <row r="766" spans="1:10" x14ac:dyDescent="0.25">
      <c r="A766" s="436"/>
      <c r="B766" s="437"/>
      <c r="C766" s="437"/>
      <c r="D766" s="438"/>
      <c r="E766" s="439"/>
      <c r="F766" s="439"/>
      <c r="G766" s="440"/>
      <c r="H766" s="440"/>
      <c r="I766" s="440"/>
      <c r="J766" s="440"/>
    </row>
    <row r="767" spans="1:10" x14ac:dyDescent="0.25">
      <c r="A767" s="436"/>
      <c r="B767" s="437"/>
      <c r="C767" s="437"/>
      <c r="D767" s="438"/>
      <c r="E767" s="439"/>
      <c r="F767" s="439"/>
      <c r="G767" s="440"/>
      <c r="H767" s="440"/>
      <c r="I767" s="440"/>
      <c r="J767" s="440"/>
    </row>
    <row r="768" spans="1:10" x14ac:dyDescent="0.25">
      <c r="A768" s="436"/>
      <c r="B768" s="437"/>
      <c r="C768" s="437"/>
      <c r="D768" s="438"/>
      <c r="E768" s="439"/>
      <c r="F768" s="439"/>
      <c r="G768" s="440"/>
      <c r="H768" s="440"/>
      <c r="I768" s="440"/>
      <c r="J768" s="440"/>
    </row>
    <row r="769" spans="1:10" x14ac:dyDescent="0.25">
      <c r="A769" s="441" t="s">
        <v>534</v>
      </c>
      <c r="B769" s="442"/>
      <c r="C769" s="442"/>
      <c r="D769" s="443"/>
      <c r="E769" s="444">
        <f>SUM(E759:E768)</f>
        <v>212900</v>
      </c>
      <c r="F769" s="444"/>
      <c r="G769" s="444">
        <f>SUM(G759:G768)</f>
        <v>0</v>
      </c>
      <c r="H769" s="444"/>
      <c r="I769" s="444">
        <f>SUM(I759:I768)</f>
        <v>0</v>
      </c>
      <c r="J769" s="444"/>
    </row>
    <row r="770" spans="1:10" x14ac:dyDescent="0.25">
      <c r="A770" s="494" t="s">
        <v>861</v>
      </c>
      <c r="B770" s="495"/>
      <c r="C770" s="495"/>
      <c r="D770" s="495"/>
      <c r="E770" s="495"/>
      <c r="F770" s="495"/>
      <c r="G770" s="495"/>
      <c r="H770" s="495"/>
      <c r="I770" s="495"/>
      <c r="J770" s="496"/>
    </row>
    <row r="771" spans="1:10" x14ac:dyDescent="0.25">
      <c r="A771" s="497" t="s">
        <v>862</v>
      </c>
      <c r="B771" s="498"/>
      <c r="C771" s="498"/>
      <c r="D771" s="498"/>
      <c r="E771" s="498"/>
      <c r="F771" s="498"/>
      <c r="G771" s="498"/>
      <c r="H771" s="498"/>
      <c r="I771" s="498"/>
      <c r="J771" s="499"/>
    </row>
    <row r="772" spans="1:10" x14ac:dyDescent="0.25">
      <c r="A772" s="497" t="s">
        <v>863</v>
      </c>
      <c r="B772" s="498"/>
      <c r="C772" s="498"/>
      <c r="D772" s="498"/>
      <c r="E772" s="498"/>
      <c r="F772" s="498"/>
      <c r="G772" s="498"/>
      <c r="H772" s="498"/>
      <c r="I772" s="498"/>
      <c r="J772" s="499"/>
    </row>
    <row r="773" spans="1:10" x14ac:dyDescent="0.25">
      <c r="A773" s="500" t="s">
        <v>864</v>
      </c>
      <c r="B773" s="501"/>
      <c r="C773" s="501"/>
      <c r="D773" s="501"/>
      <c r="E773" s="501"/>
      <c r="F773" s="501"/>
      <c r="G773" s="501"/>
      <c r="H773" s="501"/>
      <c r="I773" s="501"/>
      <c r="J773" s="502"/>
    </row>
    <row r="774" spans="1:10" ht="13.2" customHeight="1" x14ac:dyDescent="0.25">
      <c r="A774" s="305" t="s">
        <v>952</v>
      </c>
      <c r="B774" s="486"/>
      <c r="C774" s="486"/>
      <c r="D774" s="486"/>
      <c r="E774" s="486"/>
      <c r="F774" s="486"/>
      <c r="G774" s="486"/>
      <c r="H774" s="486"/>
      <c r="I774" s="486"/>
      <c r="J774" s="487"/>
    </row>
    <row r="775" spans="1:10" x14ac:dyDescent="0.25">
      <c r="A775" s="488"/>
      <c r="B775" s="489"/>
      <c r="C775" s="489"/>
      <c r="D775" s="489"/>
      <c r="E775" s="489"/>
      <c r="F775" s="489"/>
      <c r="G775" s="489"/>
      <c r="H775" s="489"/>
      <c r="I775" s="489"/>
      <c r="J775" s="490"/>
    </row>
    <row r="776" spans="1:10" x14ac:dyDescent="0.25">
      <c r="A776" s="488"/>
      <c r="B776" s="489"/>
      <c r="C776" s="489"/>
      <c r="D776" s="489"/>
      <c r="E776" s="489"/>
      <c r="F776" s="489"/>
      <c r="G776" s="489"/>
      <c r="H776" s="489"/>
      <c r="I776" s="489"/>
      <c r="J776" s="490"/>
    </row>
    <row r="777" spans="1:10" x14ac:dyDescent="0.25">
      <c r="A777" s="488"/>
      <c r="B777" s="489"/>
      <c r="C777" s="489"/>
      <c r="D777" s="489"/>
      <c r="E777" s="489"/>
      <c r="F777" s="489"/>
      <c r="G777" s="489"/>
      <c r="H777" s="489"/>
      <c r="I777" s="489"/>
      <c r="J777" s="490"/>
    </row>
    <row r="778" spans="1:10" x14ac:dyDescent="0.25">
      <c r="A778" s="488"/>
      <c r="B778" s="489"/>
      <c r="C778" s="489"/>
      <c r="D778" s="489"/>
      <c r="E778" s="489"/>
      <c r="F778" s="489"/>
      <c r="G778" s="489"/>
      <c r="H778" s="489"/>
      <c r="I778" s="489"/>
      <c r="J778" s="490"/>
    </row>
    <row r="779" spans="1:10" x14ac:dyDescent="0.25">
      <c r="A779" s="488"/>
      <c r="B779" s="489"/>
      <c r="C779" s="489"/>
      <c r="D779" s="489"/>
      <c r="E779" s="489"/>
      <c r="F779" s="489"/>
      <c r="G779" s="489"/>
      <c r="H779" s="489"/>
      <c r="I779" s="489"/>
      <c r="J779" s="490"/>
    </row>
    <row r="780" spans="1:10" x14ac:dyDescent="0.25">
      <c r="A780" s="488"/>
      <c r="B780" s="489"/>
      <c r="C780" s="489"/>
      <c r="D780" s="489"/>
      <c r="E780" s="489"/>
      <c r="F780" s="489"/>
      <c r="G780" s="489"/>
      <c r="H780" s="489"/>
      <c r="I780" s="489"/>
      <c r="J780" s="490"/>
    </row>
    <row r="781" spans="1:10" x14ac:dyDescent="0.25">
      <c r="A781" s="488"/>
      <c r="B781" s="489"/>
      <c r="C781" s="489"/>
      <c r="D781" s="489"/>
      <c r="E781" s="489"/>
      <c r="F781" s="489"/>
      <c r="G781" s="489"/>
      <c r="H781" s="489"/>
      <c r="I781" s="489"/>
      <c r="J781" s="490"/>
    </row>
    <row r="782" spans="1:10" x14ac:dyDescent="0.25">
      <c r="A782" s="488"/>
      <c r="B782" s="489"/>
      <c r="C782" s="489"/>
      <c r="D782" s="489"/>
      <c r="E782" s="489"/>
      <c r="F782" s="489"/>
      <c r="G782" s="489"/>
      <c r="H782" s="489"/>
      <c r="I782" s="489"/>
      <c r="J782" s="490"/>
    </row>
    <row r="783" spans="1:10" x14ac:dyDescent="0.25">
      <c r="A783" s="488"/>
      <c r="B783" s="489"/>
      <c r="C783" s="489"/>
      <c r="D783" s="489"/>
      <c r="E783" s="489"/>
      <c r="F783" s="489"/>
      <c r="G783" s="489"/>
      <c r="H783" s="489"/>
      <c r="I783" s="489"/>
      <c r="J783" s="490"/>
    </row>
    <row r="784" spans="1:10" x14ac:dyDescent="0.25">
      <c r="A784" s="488"/>
      <c r="B784" s="489"/>
      <c r="C784" s="489"/>
      <c r="D784" s="489"/>
      <c r="E784" s="489"/>
      <c r="F784" s="489"/>
      <c r="G784" s="489"/>
      <c r="H784" s="489"/>
      <c r="I784" s="489"/>
      <c r="J784" s="490"/>
    </row>
    <row r="785" spans="1:10" x14ac:dyDescent="0.25">
      <c r="A785" s="488"/>
      <c r="B785" s="489"/>
      <c r="C785" s="489"/>
      <c r="D785" s="489"/>
      <c r="E785" s="489"/>
      <c r="F785" s="489"/>
      <c r="G785" s="489"/>
      <c r="H785" s="489"/>
      <c r="I785" s="489"/>
      <c r="J785" s="490"/>
    </row>
    <row r="786" spans="1:10" x14ac:dyDescent="0.25">
      <c r="A786" s="488"/>
      <c r="B786" s="489"/>
      <c r="C786" s="489"/>
      <c r="D786" s="489"/>
      <c r="E786" s="489"/>
      <c r="F786" s="489"/>
      <c r="G786" s="489"/>
      <c r="H786" s="489"/>
      <c r="I786" s="489"/>
      <c r="J786" s="490"/>
    </row>
    <row r="787" spans="1:10" x14ac:dyDescent="0.25">
      <c r="A787" s="488"/>
      <c r="B787" s="489"/>
      <c r="C787" s="489"/>
      <c r="D787" s="489"/>
      <c r="E787" s="489"/>
      <c r="F787" s="489"/>
      <c r="G787" s="489"/>
      <c r="H787" s="489"/>
      <c r="I787" s="489"/>
      <c r="J787" s="490"/>
    </row>
    <row r="788" spans="1:10" x14ac:dyDescent="0.25">
      <c r="A788" s="488"/>
      <c r="B788" s="489"/>
      <c r="C788" s="489"/>
      <c r="D788" s="489"/>
      <c r="E788" s="489"/>
      <c r="F788" s="489"/>
      <c r="G788" s="489"/>
      <c r="H788" s="489"/>
      <c r="I788" s="489"/>
      <c r="J788" s="490"/>
    </row>
    <row r="789" spans="1:10" x14ac:dyDescent="0.25">
      <c r="A789" s="488"/>
      <c r="B789" s="489"/>
      <c r="C789" s="489"/>
      <c r="D789" s="489"/>
      <c r="E789" s="489"/>
      <c r="F789" s="489"/>
      <c r="G789" s="489"/>
      <c r="H789" s="489"/>
      <c r="I789" s="489"/>
      <c r="J789" s="490"/>
    </row>
    <row r="790" spans="1:10" x14ac:dyDescent="0.25">
      <c r="A790" s="488"/>
      <c r="B790" s="489"/>
      <c r="C790" s="489"/>
      <c r="D790" s="489"/>
      <c r="E790" s="489"/>
      <c r="F790" s="489"/>
      <c r="G790" s="489"/>
      <c r="H790" s="489"/>
      <c r="I790" s="489"/>
      <c r="J790" s="490"/>
    </row>
    <row r="791" spans="1:10" x14ac:dyDescent="0.25">
      <c r="A791" s="488"/>
      <c r="B791" s="489"/>
      <c r="C791" s="489"/>
      <c r="D791" s="489"/>
      <c r="E791" s="489"/>
      <c r="F791" s="489"/>
      <c r="G791" s="489"/>
      <c r="H791" s="489"/>
      <c r="I791" s="489"/>
      <c r="J791" s="490"/>
    </row>
    <row r="792" spans="1:10" x14ac:dyDescent="0.25">
      <c r="A792" s="488"/>
      <c r="B792" s="489"/>
      <c r="C792" s="489"/>
      <c r="D792" s="489"/>
      <c r="E792" s="489"/>
      <c r="F792" s="489"/>
      <c r="G792" s="489"/>
      <c r="H792" s="489"/>
      <c r="I792" s="489"/>
      <c r="J792" s="490"/>
    </row>
    <row r="793" spans="1:10" x14ac:dyDescent="0.25">
      <c r="A793" s="488"/>
      <c r="B793" s="489"/>
      <c r="C793" s="489"/>
      <c r="D793" s="489"/>
      <c r="E793" s="489"/>
      <c r="F793" s="489"/>
      <c r="G793" s="489"/>
      <c r="H793" s="489"/>
      <c r="I793" s="489"/>
      <c r="J793" s="490"/>
    </row>
    <row r="794" spans="1:10" x14ac:dyDescent="0.25">
      <c r="A794" s="488"/>
      <c r="B794" s="489"/>
      <c r="C794" s="489"/>
      <c r="D794" s="489"/>
      <c r="E794" s="489"/>
      <c r="F794" s="489"/>
      <c r="G794" s="489"/>
      <c r="H794" s="489"/>
      <c r="I794" s="489"/>
      <c r="J794" s="490"/>
    </row>
    <row r="795" spans="1:10" x14ac:dyDescent="0.25">
      <c r="A795" s="488"/>
      <c r="B795" s="489"/>
      <c r="C795" s="489"/>
      <c r="D795" s="489"/>
      <c r="E795" s="489"/>
      <c r="F795" s="489"/>
      <c r="G795" s="489"/>
      <c r="H795" s="489"/>
      <c r="I795" s="489"/>
      <c r="J795" s="490"/>
    </row>
    <row r="796" spans="1:10" x14ac:dyDescent="0.25">
      <c r="A796" s="488"/>
      <c r="B796" s="489"/>
      <c r="C796" s="489"/>
      <c r="D796" s="489"/>
      <c r="E796" s="489"/>
      <c r="F796" s="489"/>
      <c r="G796" s="489"/>
      <c r="H796" s="489"/>
      <c r="I796" s="489"/>
      <c r="J796" s="490"/>
    </row>
    <row r="797" spans="1:10" x14ac:dyDescent="0.25">
      <c r="A797" s="488"/>
      <c r="B797" s="489"/>
      <c r="C797" s="489"/>
      <c r="D797" s="489"/>
      <c r="E797" s="489"/>
      <c r="F797" s="489"/>
      <c r="G797" s="489"/>
      <c r="H797" s="489"/>
      <c r="I797" s="489"/>
      <c r="J797" s="490"/>
    </row>
    <row r="798" spans="1:10" x14ac:dyDescent="0.25">
      <c r="A798" s="488"/>
      <c r="B798" s="489"/>
      <c r="C798" s="489"/>
      <c r="D798" s="489"/>
      <c r="E798" s="489"/>
      <c r="F798" s="489"/>
      <c r="G798" s="489"/>
      <c r="H798" s="489"/>
      <c r="I798" s="489"/>
      <c r="J798" s="490"/>
    </row>
    <row r="799" spans="1:10" x14ac:dyDescent="0.25">
      <c r="A799" s="488"/>
      <c r="B799" s="489"/>
      <c r="C799" s="489"/>
      <c r="D799" s="489"/>
      <c r="E799" s="489"/>
      <c r="F799" s="489"/>
      <c r="G799" s="489"/>
      <c r="H799" s="489"/>
      <c r="I799" s="489"/>
      <c r="J799" s="490"/>
    </row>
    <row r="800" spans="1:10" x14ac:dyDescent="0.25">
      <c r="A800" s="488"/>
      <c r="B800" s="489"/>
      <c r="C800" s="489"/>
      <c r="D800" s="489"/>
      <c r="E800" s="489"/>
      <c r="F800" s="489"/>
      <c r="G800" s="489"/>
      <c r="H800" s="489"/>
      <c r="I800" s="489"/>
      <c r="J800" s="490"/>
    </row>
    <row r="801" spans="1:10" x14ac:dyDescent="0.25">
      <c r="A801" s="488"/>
      <c r="B801" s="489"/>
      <c r="C801" s="489"/>
      <c r="D801" s="489"/>
      <c r="E801" s="489"/>
      <c r="F801" s="489"/>
      <c r="G801" s="489"/>
      <c r="H801" s="489"/>
      <c r="I801" s="489"/>
      <c r="J801" s="490"/>
    </row>
    <row r="802" spans="1:10" x14ac:dyDescent="0.25">
      <c r="A802" s="488"/>
      <c r="B802" s="489"/>
      <c r="C802" s="489"/>
      <c r="D802" s="489"/>
      <c r="E802" s="489"/>
      <c r="F802" s="489"/>
      <c r="G802" s="489"/>
      <c r="H802" s="489"/>
      <c r="I802" s="489"/>
      <c r="J802" s="490"/>
    </row>
    <row r="803" spans="1:10" x14ac:dyDescent="0.25">
      <c r="A803" s="488"/>
      <c r="B803" s="489"/>
      <c r="C803" s="489"/>
      <c r="D803" s="489"/>
      <c r="E803" s="489"/>
      <c r="F803" s="489"/>
      <c r="G803" s="489"/>
      <c r="H803" s="489"/>
      <c r="I803" s="489"/>
      <c r="J803" s="490"/>
    </row>
    <row r="804" spans="1:10" x14ac:dyDescent="0.25">
      <c r="A804" s="488"/>
      <c r="B804" s="489"/>
      <c r="C804" s="489"/>
      <c r="D804" s="489"/>
      <c r="E804" s="489"/>
      <c r="F804" s="489"/>
      <c r="G804" s="489"/>
      <c r="H804" s="489"/>
      <c r="I804" s="489"/>
      <c r="J804" s="490"/>
    </row>
    <row r="805" spans="1:10" x14ac:dyDescent="0.25">
      <c r="A805" s="488"/>
      <c r="B805" s="489"/>
      <c r="C805" s="489"/>
      <c r="D805" s="489"/>
      <c r="E805" s="489"/>
      <c r="F805" s="489"/>
      <c r="G805" s="489"/>
      <c r="H805" s="489"/>
      <c r="I805" s="489"/>
      <c r="J805" s="490"/>
    </row>
    <row r="806" spans="1:10" x14ac:dyDescent="0.25">
      <c r="A806" s="488"/>
      <c r="B806" s="489"/>
      <c r="C806" s="489"/>
      <c r="D806" s="489"/>
      <c r="E806" s="489"/>
      <c r="F806" s="489"/>
      <c r="G806" s="489"/>
      <c r="H806" s="489"/>
      <c r="I806" s="489"/>
      <c r="J806" s="490"/>
    </row>
    <row r="807" spans="1:10" x14ac:dyDescent="0.25">
      <c r="A807" s="488"/>
      <c r="B807" s="489"/>
      <c r="C807" s="489"/>
      <c r="D807" s="489"/>
      <c r="E807" s="489"/>
      <c r="F807" s="489"/>
      <c r="G807" s="489"/>
      <c r="H807" s="489"/>
      <c r="I807" s="489"/>
      <c r="J807" s="490"/>
    </row>
    <row r="808" spans="1:10" x14ac:dyDescent="0.25">
      <c r="A808" s="491"/>
      <c r="B808" s="492"/>
      <c r="C808" s="492"/>
      <c r="D808" s="492"/>
      <c r="E808" s="492"/>
      <c r="F808" s="492"/>
      <c r="G808" s="492"/>
      <c r="H808" s="492"/>
      <c r="I808" s="492"/>
      <c r="J808" s="493"/>
    </row>
    <row r="810" spans="1:10" ht="15.6" x14ac:dyDescent="0.3">
      <c r="A810" s="355" t="s">
        <v>848</v>
      </c>
      <c r="B810" s="356"/>
      <c r="C810" s="356"/>
      <c r="D810" s="356"/>
      <c r="E810" s="356"/>
      <c r="F810" s="356"/>
      <c r="G810" s="356"/>
      <c r="H810" s="353" t="str">
        <f>'CONTACT INFORMATION'!$A$24</f>
        <v>Alameda</v>
      </c>
      <c r="I810" s="353"/>
      <c r="J810" s="354"/>
    </row>
    <row r="811" spans="1:10" ht="8.1" customHeight="1" x14ac:dyDescent="0.25">
      <c r="A811" s="163"/>
      <c r="B811" s="163"/>
      <c r="C811" s="163"/>
      <c r="D811" s="163"/>
      <c r="E811" s="163"/>
      <c r="F811" s="163"/>
      <c r="G811" s="163"/>
      <c r="H811" s="163"/>
      <c r="I811" s="163"/>
      <c r="J811" s="163"/>
    </row>
    <row r="812" spans="1:10" ht="13.8" x14ac:dyDescent="0.25">
      <c r="A812" s="466" t="s">
        <v>867</v>
      </c>
      <c r="B812" s="467"/>
      <c r="C812" s="467"/>
      <c r="D812" s="467"/>
      <c r="E812" s="467"/>
      <c r="F812" s="467"/>
      <c r="G812" s="467"/>
      <c r="H812" s="467"/>
      <c r="I812" s="467"/>
      <c r="J812" s="468"/>
    </row>
    <row r="813" spans="1:10" x14ac:dyDescent="0.25">
      <c r="A813" s="463" t="s">
        <v>854</v>
      </c>
      <c r="B813" s="464"/>
      <c r="C813" s="464"/>
      <c r="D813" s="465"/>
      <c r="E813" s="544" t="s">
        <v>953</v>
      </c>
      <c r="F813" s="545"/>
      <c r="G813" s="545"/>
      <c r="H813" s="545"/>
      <c r="I813" s="545"/>
      <c r="J813" s="546"/>
    </row>
    <row r="814" spans="1:10" x14ac:dyDescent="0.25">
      <c r="A814" s="503" t="s">
        <v>853</v>
      </c>
      <c r="B814" s="504"/>
      <c r="C814" s="504"/>
      <c r="D814" s="505"/>
      <c r="E814" s="547"/>
      <c r="F814" s="548"/>
      <c r="G814" s="548"/>
      <c r="H814" s="548"/>
      <c r="I814" s="548"/>
      <c r="J814" s="549"/>
    </row>
    <row r="815" spans="1:10" x14ac:dyDescent="0.25">
      <c r="A815" s="541" t="s">
        <v>808</v>
      </c>
      <c r="B815" s="542"/>
      <c r="C815" s="542"/>
      <c r="D815" s="543"/>
      <c r="E815" s="479" t="s">
        <v>510</v>
      </c>
      <c r="F815" s="480"/>
      <c r="G815" s="480"/>
      <c r="H815" s="480"/>
      <c r="I815" s="480"/>
      <c r="J815" s="481"/>
    </row>
    <row r="816" spans="1:10" ht="27" customHeight="1" x14ac:dyDescent="0.25">
      <c r="A816" s="157"/>
      <c r="B816" s="208"/>
      <c r="C816" s="208"/>
      <c r="D816" s="208"/>
      <c r="E816" s="482" t="s">
        <v>535</v>
      </c>
      <c r="F816" s="483"/>
      <c r="G816" s="482" t="s">
        <v>533</v>
      </c>
      <c r="H816" s="483"/>
      <c r="I816" s="484" t="s">
        <v>849</v>
      </c>
      <c r="J816" s="485"/>
    </row>
    <row r="817" spans="1:10" x14ac:dyDescent="0.25">
      <c r="A817" s="448" t="s">
        <v>527</v>
      </c>
      <c r="B817" s="449"/>
      <c r="C817" s="449"/>
      <c r="D817" s="450"/>
      <c r="E817" s="456"/>
      <c r="F817" s="456"/>
      <c r="G817" s="456"/>
      <c r="H817" s="456"/>
      <c r="I817" s="457"/>
      <c r="J817" s="457"/>
    </row>
    <row r="818" spans="1:10" x14ac:dyDescent="0.25">
      <c r="A818" s="452" t="s">
        <v>528</v>
      </c>
      <c r="B818" s="453"/>
      <c r="C818" s="453"/>
      <c r="D818" s="454"/>
      <c r="E818" s="439"/>
      <c r="F818" s="439"/>
      <c r="G818" s="440"/>
      <c r="H818" s="440"/>
      <c r="I818" s="455"/>
      <c r="J818" s="455"/>
    </row>
    <row r="819" spans="1:10" x14ac:dyDescent="0.25">
      <c r="A819" s="448" t="s">
        <v>529</v>
      </c>
      <c r="B819" s="449"/>
      <c r="C819" s="449"/>
      <c r="D819" s="450"/>
      <c r="E819" s="456"/>
      <c r="F819" s="456"/>
      <c r="G819" s="456"/>
      <c r="H819" s="456"/>
      <c r="I819" s="457"/>
      <c r="J819" s="457"/>
    </row>
    <row r="820" spans="1:10" x14ac:dyDescent="0.25">
      <c r="A820" s="452" t="s">
        <v>530</v>
      </c>
      <c r="B820" s="453"/>
      <c r="C820" s="453"/>
      <c r="D820" s="454"/>
      <c r="E820" s="439"/>
      <c r="F820" s="439"/>
      <c r="G820" s="440"/>
      <c r="H820" s="440"/>
      <c r="I820" s="455"/>
      <c r="J820" s="455"/>
    </row>
    <row r="821" spans="1:10" x14ac:dyDescent="0.25">
      <c r="A821" s="448" t="s">
        <v>531</v>
      </c>
      <c r="B821" s="449"/>
      <c r="C821" s="449"/>
      <c r="D821" s="450"/>
      <c r="E821" s="456"/>
      <c r="F821" s="456"/>
      <c r="G821" s="456"/>
      <c r="H821" s="456"/>
      <c r="I821" s="457"/>
      <c r="J821" s="457"/>
    </row>
    <row r="822" spans="1:10" x14ac:dyDescent="0.25">
      <c r="A822" s="452" t="s">
        <v>532</v>
      </c>
      <c r="B822" s="453"/>
      <c r="C822" s="453"/>
      <c r="D822" s="454"/>
      <c r="E822" s="439"/>
      <c r="F822" s="439"/>
      <c r="G822" s="440"/>
      <c r="H822" s="440"/>
      <c r="I822" s="455"/>
      <c r="J822" s="455"/>
    </row>
    <row r="823" spans="1:10" x14ac:dyDescent="0.25">
      <c r="A823" s="448" t="s">
        <v>537</v>
      </c>
      <c r="B823" s="449"/>
      <c r="C823" s="449"/>
      <c r="D823" s="450"/>
      <c r="E823" s="451"/>
      <c r="F823" s="451"/>
      <c r="G823" s="451"/>
      <c r="H823" s="451"/>
      <c r="I823" s="445"/>
      <c r="J823" s="445"/>
    </row>
    <row r="824" spans="1:10" x14ac:dyDescent="0.25">
      <c r="A824" s="436"/>
      <c r="B824" s="437"/>
      <c r="C824" s="437"/>
      <c r="D824" s="438"/>
      <c r="E824" s="439"/>
      <c r="F824" s="439"/>
      <c r="G824" s="440"/>
      <c r="H824" s="440"/>
      <c r="I824" s="440"/>
      <c r="J824" s="440"/>
    </row>
    <row r="825" spans="1:10" x14ac:dyDescent="0.25">
      <c r="A825" s="436"/>
      <c r="B825" s="437"/>
      <c r="C825" s="437"/>
      <c r="D825" s="438"/>
      <c r="E825" s="439"/>
      <c r="F825" s="439"/>
      <c r="G825" s="440"/>
      <c r="H825" s="440"/>
      <c r="I825" s="440"/>
      <c r="J825" s="440"/>
    </row>
    <row r="826" spans="1:10" x14ac:dyDescent="0.25">
      <c r="A826" s="436"/>
      <c r="B826" s="437"/>
      <c r="C826" s="437"/>
      <c r="D826" s="438"/>
      <c r="E826" s="439"/>
      <c r="F826" s="439"/>
      <c r="G826" s="440"/>
      <c r="H826" s="440"/>
      <c r="I826" s="440"/>
      <c r="J826" s="440"/>
    </row>
    <row r="827" spans="1:10" x14ac:dyDescent="0.25">
      <c r="A827" s="441" t="s">
        <v>534</v>
      </c>
      <c r="B827" s="442"/>
      <c r="C827" s="442"/>
      <c r="D827" s="443"/>
      <c r="E827" s="444">
        <f>SUM(E817:E826)</f>
        <v>0</v>
      </c>
      <c r="F827" s="444"/>
      <c r="G827" s="444">
        <f>SUM(G817:G826)</f>
        <v>0</v>
      </c>
      <c r="H827" s="444"/>
      <c r="I827" s="444">
        <f>SUM(I817:I826)</f>
        <v>0</v>
      </c>
      <c r="J827" s="444"/>
    </row>
    <row r="828" spans="1:10" x14ac:dyDescent="0.25">
      <c r="A828" s="494" t="s">
        <v>861</v>
      </c>
      <c r="B828" s="495"/>
      <c r="C828" s="495"/>
      <c r="D828" s="495"/>
      <c r="E828" s="495"/>
      <c r="F828" s="495"/>
      <c r="G828" s="495"/>
      <c r="H828" s="495"/>
      <c r="I828" s="495"/>
      <c r="J828" s="496"/>
    </row>
    <row r="829" spans="1:10" x14ac:dyDescent="0.25">
      <c r="A829" s="497" t="s">
        <v>862</v>
      </c>
      <c r="B829" s="498"/>
      <c r="C829" s="498"/>
      <c r="D829" s="498"/>
      <c r="E829" s="498"/>
      <c r="F829" s="498"/>
      <c r="G829" s="498"/>
      <c r="H829" s="498"/>
      <c r="I829" s="498"/>
      <c r="J829" s="499"/>
    </row>
    <row r="830" spans="1:10" x14ac:dyDescent="0.25">
      <c r="A830" s="497" t="s">
        <v>863</v>
      </c>
      <c r="B830" s="498"/>
      <c r="C830" s="498"/>
      <c r="D830" s="498"/>
      <c r="E830" s="498"/>
      <c r="F830" s="498"/>
      <c r="G830" s="498"/>
      <c r="H830" s="498"/>
      <c r="I830" s="498"/>
      <c r="J830" s="499"/>
    </row>
    <row r="831" spans="1:10" x14ac:dyDescent="0.25">
      <c r="A831" s="500" t="s">
        <v>864</v>
      </c>
      <c r="B831" s="501"/>
      <c r="C831" s="501"/>
      <c r="D831" s="501"/>
      <c r="E831" s="501"/>
      <c r="F831" s="501"/>
      <c r="G831" s="501"/>
      <c r="H831" s="501"/>
      <c r="I831" s="501"/>
      <c r="J831" s="502"/>
    </row>
    <row r="832" spans="1:10" x14ac:dyDescent="0.25">
      <c r="A832" s="305" t="s">
        <v>993</v>
      </c>
      <c r="B832" s="486"/>
      <c r="C832" s="486"/>
      <c r="D832" s="486"/>
      <c r="E832" s="486"/>
      <c r="F832" s="486"/>
      <c r="G832" s="486"/>
      <c r="H832" s="486"/>
      <c r="I832" s="486"/>
      <c r="J832" s="487"/>
    </row>
    <row r="833" spans="1:10" x14ac:dyDescent="0.25">
      <c r="A833" s="488"/>
      <c r="B833" s="489"/>
      <c r="C833" s="489"/>
      <c r="D833" s="489"/>
      <c r="E833" s="489"/>
      <c r="F833" s="489"/>
      <c r="G833" s="489"/>
      <c r="H833" s="489"/>
      <c r="I833" s="489"/>
      <c r="J833" s="490"/>
    </row>
    <row r="834" spans="1:10" x14ac:dyDescent="0.25">
      <c r="A834" s="488"/>
      <c r="B834" s="489"/>
      <c r="C834" s="489"/>
      <c r="D834" s="489"/>
      <c r="E834" s="489"/>
      <c r="F834" s="489"/>
      <c r="G834" s="489"/>
      <c r="H834" s="489"/>
      <c r="I834" s="489"/>
      <c r="J834" s="490"/>
    </row>
    <row r="835" spans="1:10" x14ac:dyDescent="0.25">
      <c r="A835" s="488"/>
      <c r="B835" s="489"/>
      <c r="C835" s="489"/>
      <c r="D835" s="489"/>
      <c r="E835" s="489"/>
      <c r="F835" s="489"/>
      <c r="G835" s="489"/>
      <c r="H835" s="489"/>
      <c r="I835" s="489"/>
      <c r="J835" s="490"/>
    </row>
    <row r="836" spans="1:10" x14ac:dyDescent="0.25">
      <c r="A836" s="488"/>
      <c r="B836" s="489"/>
      <c r="C836" s="489"/>
      <c r="D836" s="489"/>
      <c r="E836" s="489"/>
      <c r="F836" s="489"/>
      <c r="G836" s="489"/>
      <c r="H836" s="489"/>
      <c r="I836" s="489"/>
      <c r="J836" s="490"/>
    </row>
    <row r="837" spans="1:10" x14ac:dyDescent="0.25">
      <c r="A837" s="488"/>
      <c r="B837" s="489"/>
      <c r="C837" s="489"/>
      <c r="D837" s="489"/>
      <c r="E837" s="489"/>
      <c r="F837" s="489"/>
      <c r="G837" s="489"/>
      <c r="H837" s="489"/>
      <c r="I837" s="489"/>
      <c r="J837" s="490"/>
    </row>
    <row r="838" spans="1:10" x14ac:dyDescent="0.25">
      <c r="A838" s="488"/>
      <c r="B838" s="489"/>
      <c r="C838" s="489"/>
      <c r="D838" s="489"/>
      <c r="E838" s="489"/>
      <c r="F838" s="489"/>
      <c r="G838" s="489"/>
      <c r="H838" s="489"/>
      <c r="I838" s="489"/>
      <c r="J838" s="490"/>
    </row>
    <row r="839" spans="1:10" x14ac:dyDescent="0.25">
      <c r="A839" s="488"/>
      <c r="B839" s="489"/>
      <c r="C839" s="489"/>
      <c r="D839" s="489"/>
      <c r="E839" s="489"/>
      <c r="F839" s="489"/>
      <c r="G839" s="489"/>
      <c r="H839" s="489"/>
      <c r="I839" s="489"/>
      <c r="J839" s="490"/>
    </row>
    <row r="840" spans="1:10" x14ac:dyDescent="0.25">
      <c r="A840" s="488"/>
      <c r="B840" s="489"/>
      <c r="C840" s="489"/>
      <c r="D840" s="489"/>
      <c r="E840" s="489"/>
      <c r="F840" s="489"/>
      <c r="G840" s="489"/>
      <c r="H840" s="489"/>
      <c r="I840" s="489"/>
      <c r="J840" s="490"/>
    </row>
    <row r="841" spans="1:10" x14ac:dyDescent="0.25">
      <c r="A841" s="488"/>
      <c r="B841" s="489"/>
      <c r="C841" s="489"/>
      <c r="D841" s="489"/>
      <c r="E841" s="489"/>
      <c r="F841" s="489"/>
      <c r="G841" s="489"/>
      <c r="H841" s="489"/>
      <c r="I841" s="489"/>
      <c r="J841" s="490"/>
    </row>
    <row r="842" spans="1:10" x14ac:dyDescent="0.25">
      <c r="A842" s="488"/>
      <c r="B842" s="489"/>
      <c r="C842" s="489"/>
      <c r="D842" s="489"/>
      <c r="E842" s="489"/>
      <c r="F842" s="489"/>
      <c r="G842" s="489"/>
      <c r="H842" s="489"/>
      <c r="I842" s="489"/>
      <c r="J842" s="490"/>
    </row>
    <row r="843" spans="1:10" x14ac:dyDescent="0.25">
      <c r="A843" s="488"/>
      <c r="B843" s="489"/>
      <c r="C843" s="489"/>
      <c r="D843" s="489"/>
      <c r="E843" s="489"/>
      <c r="F843" s="489"/>
      <c r="G843" s="489"/>
      <c r="H843" s="489"/>
      <c r="I843" s="489"/>
      <c r="J843" s="490"/>
    </row>
    <row r="844" spans="1:10" x14ac:dyDescent="0.25">
      <c r="A844" s="488"/>
      <c r="B844" s="489"/>
      <c r="C844" s="489"/>
      <c r="D844" s="489"/>
      <c r="E844" s="489"/>
      <c r="F844" s="489"/>
      <c r="G844" s="489"/>
      <c r="H844" s="489"/>
      <c r="I844" s="489"/>
      <c r="J844" s="490"/>
    </row>
    <row r="845" spans="1:10" x14ac:dyDescent="0.25">
      <c r="A845" s="488"/>
      <c r="B845" s="489"/>
      <c r="C845" s="489"/>
      <c r="D845" s="489"/>
      <c r="E845" s="489"/>
      <c r="F845" s="489"/>
      <c r="G845" s="489"/>
      <c r="H845" s="489"/>
      <c r="I845" s="489"/>
      <c r="J845" s="490"/>
    </row>
    <row r="846" spans="1:10" x14ac:dyDescent="0.25">
      <c r="A846" s="488"/>
      <c r="B846" s="489"/>
      <c r="C846" s="489"/>
      <c r="D846" s="489"/>
      <c r="E846" s="489"/>
      <c r="F846" s="489"/>
      <c r="G846" s="489"/>
      <c r="H846" s="489"/>
      <c r="I846" s="489"/>
      <c r="J846" s="490"/>
    </row>
    <row r="847" spans="1:10" x14ac:dyDescent="0.25">
      <c r="A847" s="488"/>
      <c r="B847" s="489"/>
      <c r="C847" s="489"/>
      <c r="D847" s="489"/>
      <c r="E847" s="489"/>
      <c r="F847" s="489"/>
      <c r="G847" s="489"/>
      <c r="H847" s="489"/>
      <c r="I847" s="489"/>
      <c r="J847" s="490"/>
    </row>
    <row r="848" spans="1:10" x14ac:dyDescent="0.25">
      <c r="A848" s="488"/>
      <c r="B848" s="489"/>
      <c r="C848" s="489"/>
      <c r="D848" s="489"/>
      <c r="E848" s="489"/>
      <c r="F848" s="489"/>
      <c r="G848" s="489"/>
      <c r="H848" s="489"/>
      <c r="I848" s="489"/>
      <c r="J848" s="490"/>
    </row>
    <row r="849" spans="1:10" x14ac:dyDescent="0.25">
      <c r="A849" s="488"/>
      <c r="B849" s="489"/>
      <c r="C849" s="489"/>
      <c r="D849" s="489"/>
      <c r="E849" s="489"/>
      <c r="F849" s="489"/>
      <c r="G849" s="489"/>
      <c r="H849" s="489"/>
      <c r="I849" s="489"/>
      <c r="J849" s="490"/>
    </row>
    <row r="850" spans="1:10" x14ac:dyDescent="0.25">
      <c r="A850" s="488"/>
      <c r="B850" s="489"/>
      <c r="C850" s="489"/>
      <c r="D850" s="489"/>
      <c r="E850" s="489"/>
      <c r="F850" s="489"/>
      <c r="G850" s="489"/>
      <c r="H850" s="489"/>
      <c r="I850" s="489"/>
      <c r="J850" s="490"/>
    </row>
    <row r="851" spans="1:10" x14ac:dyDescent="0.25">
      <c r="A851" s="488"/>
      <c r="B851" s="489"/>
      <c r="C851" s="489"/>
      <c r="D851" s="489"/>
      <c r="E851" s="489"/>
      <c r="F851" s="489"/>
      <c r="G851" s="489"/>
      <c r="H851" s="489"/>
      <c r="I851" s="489"/>
      <c r="J851" s="490"/>
    </row>
    <row r="852" spans="1:10" x14ac:dyDescent="0.25">
      <c r="A852" s="488"/>
      <c r="B852" s="489"/>
      <c r="C852" s="489"/>
      <c r="D852" s="489"/>
      <c r="E852" s="489"/>
      <c r="F852" s="489"/>
      <c r="G852" s="489"/>
      <c r="H852" s="489"/>
      <c r="I852" s="489"/>
      <c r="J852" s="490"/>
    </row>
    <row r="853" spans="1:10" x14ac:dyDescent="0.25">
      <c r="A853" s="488"/>
      <c r="B853" s="489"/>
      <c r="C853" s="489"/>
      <c r="D853" s="489"/>
      <c r="E853" s="489"/>
      <c r="F853" s="489"/>
      <c r="G853" s="489"/>
      <c r="H853" s="489"/>
      <c r="I853" s="489"/>
      <c r="J853" s="490"/>
    </row>
    <row r="854" spans="1:10" x14ac:dyDescent="0.25">
      <c r="A854" s="488"/>
      <c r="B854" s="489"/>
      <c r="C854" s="489"/>
      <c r="D854" s="489"/>
      <c r="E854" s="489"/>
      <c r="F854" s="489"/>
      <c r="G854" s="489"/>
      <c r="H854" s="489"/>
      <c r="I854" s="489"/>
      <c r="J854" s="490"/>
    </row>
    <row r="855" spans="1:10" x14ac:dyDescent="0.25">
      <c r="A855" s="488"/>
      <c r="B855" s="489"/>
      <c r="C855" s="489"/>
      <c r="D855" s="489"/>
      <c r="E855" s="489"/>
      <c r="F855" s="489"/>
      <c r="G855" s="489"/>
      <c r="H855" s="489"/>
      <c r="I855" s="489"/>
      <c r="J855" s="490"/>
    </row>
    <row r="856" spans="1:10" x14ac:dyDescent="0.25">
      <c r="A856" s="488"/>
      <c r="B856" s="489"/>
      <c r="C856" s="489"/>
      <c r="D856" s="489"/>
      <c r="E856" s="489"/>
      <c r="F856" s="489"/>
      <c r="G856" s="489"/>
      <c r="H856" s="489"/>
      <c r="I856" s="489"/>
      <c r="J856" s="490"/>
    </row>
    <row r="857" spans="1:10" x14ac:dyDescent="0.25">
      <c r="A857" s="488"/>
      <c r="B857" s="489"/>
      <c r="C857" s="489"/>
      <c r="D857" s="489"/>
      <c r="E857" s="489"/>
      <c r="F857" s="489"/>
      <c r="G857" s="489"/>
      <c r="H857" s="489"/>
      <c r="I857" s="489"/>
      <c r="J857" s="490"/>
    </row>
    <row r="858" spans="1:10" x14ac:dyDescent="0.25">
      <c r="A858" s="488"/>
      <c r="B858" s="489"/>
      <c r="C858" s="489"/>
      <c r="D858" s="489"/>
      <c r="E858" s="489"/>
      <c r="F858" s="489"/>
      <c r="G858" s="489"/>
      <c r="H858" s="489"/>
      <c r="I858" s="489"/>
      <c r="J858" s="490"/>
    </row>
    <row r="859" spans="1:10" x14ac:dyDescent="0.25">
      <c r="A859" s="488"/>
      <c r="B859" s="489"/>
      <c r="C859" s="489"/>
      <c r="D859" s="489"/>
      <c r="E859" s="489"/>
      <c r="F859" s="489"/>
      <c r="G859" s="489"/>
      <c r="H859" s="489"/>
      <c r="I859" s="489"/>
      <c r="J859" s="490"/>
    </row>
    <row r="860" spans="1:10" x14ac:dyDescent="0.25">
      <c r="A860" s="488"/>
      <c r="B860" s="489"/>
      <c r="C860" s="489"/>
      <c r="D860" s="489"/>
      <c r="E860" s="489"/>
      <c r="F860" s="489"/>
      <c r="G860" s="489"/>
      <c r="H860" s="489"/>
      <c r="I860" s="489"/>
      <c r="J860" s="490"/>
    </row>
    <row r="861" spans="1:10" x14ac:dyDescent="0.25">
      <c r="A861" s="488"/>
      <c r="B861" s="489"/>
      <c r="C861" s="489"/>
      <c r="D861" s="489"/>
      <c r="E861" s="489"/>
      <c r="F861" s="489"/>
      <c r="G861" s="489"/>
      <c r="H861" s="489"/>
      <c r="I861" s="489"/>
      <c r="J861" s="490"/>
    </row>
    <row r="862" spans="1:10" x14ac:dyDescent="0.25">
      <c r="A862" s="488"/>
      <c r="B862" s="489"/>
      <c r="C862" s="489"/>
      <c r="D862" s="489"/>
      <c r="E862" s="489"/>
      <c r="F862" s="489"/>
      <c r="G862" s="489"/>
      <c r="H862" s="489"/>
      <c r="I862" s="489"/>
      <c r="J862" s="490"/>
    </row>
    <row r="863" spans="1:10" x14ac:dyDescent="0.25">
      <c r="A863" s="488"/>
      <c r="B863" s="489"/>
      <c r="C863" s="489"/>
      <c r="D863" s="489"/>
      <c r="E863" s="489"/>
      <c r="F863" s="489"/>
      <c r="G863" s="489"/>
      <c r="H863" s="489"/>
      <c r="I863" s="489"/>
      <c r="J863" s="490"/>
    </row>
    <row r="864" spans="1:10" x14ac:dyDescent="0.25">
      <c r="A864" s="488"/>
      <c r="B864" s="489"/>
      <c r="C864" s="489"/>
      <c r="D864" s="489"/>
      <c r="E864" s="489"/>
      <c r="F864" s="489"/>
      <c r="G864" s="489"/>
      <c r="H864" s="489"/>
      <c r="I864" s="489"/>
      <c r="J864" s="490"/>
    </row>
    <row r="865" spans="1:10" x14ac:dyDescent="0.25">
      <c r="A865" s="488"/>
      <c r="B865" s="489"/>
      <c r="C865" s="489"/>
      <c r="D865" s="489"/>
      <c r="E865" s="489"/>
      <c r="F865" s="489"/>
      <c r="G865" s="489"/>
      <c r="H865" s="489"/>
      <c r="I865" s="489"/>
      <c r="J865" s="490"/>
    </row>
    <row r="866" spans="1:10" x14ac:dyDescent="0.25">
      <c r="A866" s="491"/>
      <c r="B866" s="492"/>
      <c r="C866" s="492"/>
      <c r="D866" s="492"/>
      <c r="E866" s="492"/>
      <c r="F866" s="492"/>
      <c r="G866" s="492"/>
      <c r="H866" s="492"/>
      <c r="I866" s="492"/>
      <c r="J866" s="493"/>
    </row>
    <row r="868" spans="1:10" ht="15.6" x14ac:dyDescent="0.3">
      <c r="A868" s="355" t="s">
        <v>848</v>
      </c>
      <c r="B868" s="356"/>
      <c r="C868" s="356"/>
      <c r="D868" s="356"/>
      <c r="E868" s="356"/>
      <c r="F868" s="356"/>
      <c r="G868" s="356"/>
      <c r="H868" s="353" t="str">
        <f>'CONTACT INFORMATION'!$A$24</f>
        <v>Alameda</v>
      </c>
      <c r="I868" s="353"/>
      <c r="J868" s="354"/>
    </row>
    <row r="869" spans="1:10" ht="8.1" customHeight="1" x14ac:dyDescent="0.25">
      <c r="A869" s="200"/>
      <c r="B869" s="201"/>
      <c r="C869" s="201"/>
      <c r="D869" s="201"/>
      <c r="E869" s="201"/>
      <c r="F869" s="201"/>
      <c r="G869" s="201"/>
      <c r="H869" s="201"/>
      <c r="I869" s="201"/>
      <c r="J869" s="202"/>
    </row>
    <row r="870" spans="1:10" ht="13.8" x14ac:dyDescent="0.25">
      <c r="A870" s="466" t="s">
        <v>868</v>
      </c>
      <c r="B870" s="467"/>
      <c r="C870" s="467"/>
      <c r="D870" s="467"/>
      <c r="E870" s="467"/>
      <c r="F870" s="467"/>
      <c r="G870" s="467"/>
      <c r="H870" s="467"/>
      <c r="I870" s="467"/>
      <c r="J870" s="468"/>
    </row>
    <row r="871" spans="1:10" x14ac:dyDescent="0.25">
      <c r="A871" s="463" t="s">
        <v>854</v>
      </c>
      <c r="B871" s="464"/>
      <c r="C871" s="464"/>
      <c r="D871" s="465"/>
      <c r="E871" s="544" t="s">
        <v>954</v>
      </c>
      <c r="F871" s="545"/>
      <c r="G871" s="545"/>
      <c r="H871" s="545"/>
      <c r="I871" s="545"/>
      <c r="J871" s="546"/>
    </row>
    <row r="872" spans="1:10" x14ac:dyDescent="0.25">
      <c r="A872" s="503" t="s">
        <v>853</v>
      </c>
      <c r="B872" s="504"/>
      <c r="C872" s="504"/>
      <c r="D872" s="505"/>
      <c r="E872" s="547"/>
      <c r="F872" s="548"/>
      <c r="G872" s="548"/>
      <c r="H872" s="548"/>
      <c r="I872" s="548"/>
      <c r="J872" s="549"/>
    </row>
    <row r="873" spans="1:10" x14ac:dyDescent="0.25">
      <c r="A873" s="541" t="s">
        <v>808</v>
      </c>
      <c r="B873" s="542"/>
      <c r="C873" s="542"/>
      <c r="D873" s="543"/>
      <c r="E873" s="479" t="s">
        <v>510</v>
      </c>
      <c r="F873" s="480"/>
      <c r="G873" s="480"/>
      <c r="H873" s="480"/>
      <c r="I873" s="480"/>
      <c r="J873" s="481"/>
    </row>
    <row r="874" spans="1:10" ht="27" customHeight="1" x14ac:dyDescent="0.25">
      <c r="A874" s="157"/>
      <c r="B874" s="208"/>
      <c r="C874" s="208"/>
      <c r="D874" s="208"/>
      <c r="E874" s="482" t="s">
        <v>535</v>
      </c>
      <c r="F874" s="483"/>
      <c r="G874" s="482" t="s">
        <v>533</v>
      </c>
      <c r="H874" s="483"/>
      <c r="I874" s="484" t="s">
        <v>849</v>
      </c>
      <c r="J874" s="485"/>
    </row>
    <row r="875" spans="1:10" x14ac:dyDescent="0.25">
      <c r="A875" s="448" t="s">
        <v>527</v>
      </c>
      <c r="B875" s="449"/>
      <c r="C875" s="449"/>
      <c r="D875" s="450"/>
      <c r="E875" s="456"/>
      <c r="F875" s="456"/>
      <c r="G875" s="456"/>
      <c r="H875" s="456"/>
      <c r="I875" s="457"/>
      <c r="J875" s="457"/>
    </row>
    <row r="876" spans="1:10" x14ac:dyDescent="0.25">
      <c r="A876" s="452" t="s">
        <v>528</v>
      </c>
      <c r="B876" s="453"/>
      <c r="C876" s="453"/>
      <c r="D876" s="454"/>
      <c r="E876" s="439"/>
      <c r="F876" s="439"/>
      <c r="G876" s="440"/>
      <c r="H876" s="440"/>
      <c r="I876" s="455"/>
      <c r="J876" s="455"/>
    </row>
    <row r="877" spans="1:10" x14ac:dyDescent="0.25">
      <c r="A877" s="448" t="s">
        <v>529</v>
      </c>
      <c r="B877" s="449"/>
      <c r="C877" s="449"/>
      <c r="D877" s="450"/>
      <c r="E877" s="456"/>
      <c r="F877" s="456"/>
      <c r="G877" s="456"/>
      <c r="H877" s="456"/>
      <c r="I877" s="457"/>
      <c r="J877" s="457"/>
    </row>
    <row r="878" spans="1:10" x14ac:dyDescent="0.25">
      <c r="A878" s="452" t="s">
        <v>530</v>
      </c>
      <c r="B878" s="453"/>
      <c r="C878" s="453"/>
      <c r="D878" s="454"/>
      <c r="E878" s="439"/>
      <c r="F878" s="439"/>
      <c r="G878" s="440"/>
      <c r="H878" s="440"/>
      <c r="I878" s="455"/>
      <c r="J878" s="455"/>
    </row>
    <row r="879" spans="1:10" x14ac:dyDescent="0.25">
      <c r="A879" s="448" t="s">
        <v>531</v>
      </c>
      <c r="B879" s="449"/>
      <c r="C879" s="449"/>
      <c r="D879" s="450"/>
      <c r="E879" s="456"/>
      <c r="F879" s="456"/>
      <c r="G879" s="456"/>
      <c r="H879" s="456"/>
      <c r="I879" s="457"/>
      <c r="J879" s="457"/>
    </row>
    <row r="880" spans="1:10" x14ac:dyDescent="0.25">
      <c r="A880" s="452" t="s">
        <v>532</v>
      </c>
      <c r="B880" s="453"/>
      <c r="C880" s="453"/>
      <c r="D880" s="454"/>
      <c r="E880" s="439"/>
      <c r="F880" s="439"/>
      <c r="G880" s="440"/>
      <c r="H880" s="440"/>
      <c r="I880" s="455"/>
      <c r="J880" s="455"/>
    </row>
    <row r="881" spans="1:10" x14ac:dyDescent="0.25">
      <c r="A881" s="448" t="s">
        <v>537</v>
      </c>
      <c r="B881" s="449"/>
      <c r="C881" s="449"/>
      <c r="D881" s="450"/>
      <c r="E881" s="451"/>
      <c r="F881" s="451"/>
      <c r="G881" s="451"/>
      <c r="H881" s="451"/>
      <c r="I881" s="445"/>
      <c r="J881" s="445"/>
    </row>
    <row r="882" spans="1:10" x14ac:dyDescent="0.25">
      <c r="A882" s="436"/>
      <c r="B882" s="437"/>
      <c r="C882" s="437"/>
      <c r="D882" s="438"/>
      <c r="E882" s="439"/>
      <c r="F882" s="439"/>
      <c r="G882" s="440"/>
      <c r="H882" s="440"/>
      <c r="I882" s="440"/>
      <c r="J882" s="440"/>
    </row>
    <row r="883" spans="1:10" x14ac:dyDescent="0.25">
      <c r="A883" s="436"/>
      <c r="B883" s="437"/>
      <c r="C883" s="437"/>
      <c r="D883" s="438"/>
      <c r="E883" s="439"/>
      <c r="F883" s="439"/>
      <c r="G883" s="440"/>
      <c r="H883" s="440"/>
      <c r="I883" s="440"/>
      <c r="J883" s="440"/>
    </row>
    <row r="884" spans="1:10" x14ac:dyDescent="0.25">
      <c r="A884" s="436"/>
      <c r="B884" s="437"/>
      <c r="C884" s="437"/>
      <c r="D884" s="438"/>
      <c r="E884" s="439"/>
      <c r="F884" s="439"/>
      <c r="G884" s="440"/>
      <c r="H884" s="440"/>
      <c r="I884" s="440"/>
      <c r="J884" s="440"/>
    </row>
    <row r="885" spans="1:10" x14ac:dyDescent="0.25">
      <c r="A885" s="441" t="s">
        <v>534</v>
      </c>
      <c r="B885" s="442"/>
      <c r="C885" s="442"/>
      <c r="D885" s="443"/>
      <c r="E885" s="444">
        <f>SUM(E875:E884)</f>
        <v>0</v>
      </c>
      <c r="F885" s="444"/>
      <c r="G885" s="444">
        <f>SUM(G875:G884)</f>
        <v>0</v>
      </c>
      <c r="H885" s="444"/>
      <c r="I885" s="444">
        <f>SUM(I875:I884)</f>
        <v>0</v>
      </c>
      <c r="J885" s="444"/>
    </row>
    <row r="886" spans="1:10" x14ac:dyDescent="0.25">
      <c r="A886" s="494" t="s">
        <v>861</v>
      </c>
      <c r="B886" s="495"/>
      <c r="C886" s="495"/>
      <c r="D886" s="495"/>
      <c r="E886" s="495"/>
      <c r="F886" s="495"/>
      <c r="G886" s="495"/>
      <c r="H886" s="495"/>
      <c r="I886" s="495"/>
      <c r="J886" s="496"/>
    </row>
    <row r="887" spans="1:10" x14ac:dyDescent="0.25">
      <c r="A887" s="497" t="s">
        <v>862</v>
      </c>
      <c r="B887" s="498"/>
      <c r="C887" s="498"/>
      <c r="D887" s="498"/>
      <c r="E887" s="498"/>
      <c r="F887" s="498"/>
      <c r="G887" s="498"/>
      <c r="H887" s="498"/>
      <c r="I887" s="498"/>
      <c r="J887" s="499"/>
    </row>
    <row r="888" spans="1:10" x14ac:dyDescent="0.25">
      <c r="A888" s="497" t="s">
        <v>863</v>
      </c>
      <c r="B888" s="498"/>
      <c r="C888" s="498"/>
      <c r="D888" s="498"/>
      <c r="E888" s="498"/>
      <c r="F888" s="498"/>
      <c r="G888" s="498"/>
      <c r="H888" s="498"/>
      <c r="I888" s="498"/>
      <c r="J888" s="499"/>
    </row>
    <row r="889" spans="1:10" x14ac:dyDescent="0.25">
      <c r="A889" s="500" t="s">
        <v>864</v>
      </c>
      <c r="B889" s="501"/>
      <c r="C889" s="501"/>
      <c r="D889" s="501"/>
      <c r="E889" s="501"/>
      <c r="F889" s="501"/>
      <c r="G889" s="501"/>
      <c r="H889" s="501"/>
      <c r="I889" s="501"/>
      <c r="J889" s="502"/>
    </row>
    <row r="890" spans="1:10" ht="13.2" customHeight="1" x14ac:dyDescent="0.25">
      <c r="A890" s="305" t="s">
        <v>977</v>
      </c>
      <c r="B890" s="486"/>
      <c r="C890" s="486"/>
      <c r="D890" s="486"/>
      <c r="E890" s="486"/>
      <c r="F890" s="486"/>
      <c r="G890" s="486"/>
      <c r="H890" s="486"/>
      <c r="I890" s="486"/>
      <c r="J890" s="487"/>
    </row>
    <row r="891" spans="1:10" x14ac:dyDescent="0.25">
      <c r="A891" s="488"/>
      <c r="B891" s="489"/>
      <c r="C891" s="489"/>
      <c r="D891" s="489"/>
      <c r="E891" s="489"/>
      <c r="F891" s="489"/>
      <c r="G891" s="489"/>
      <c r="H891" s="489"/>
      <c r="I891" s="489"/>
      <c r="J891" s="490"/>
    </row>
    <row r="892" spans="1:10" x14ac:dyDescent="0.25">
      <c r="A892" s="488"/>
      <c r="B892" s="489"/>
      <c r="C892" s="489"/>
      <c r="D892" s="489"/>
      <c r="E892" s="489"/>
      <c r="F892" s="489"/>
      <c r="G892" s="489"/>
      <c r="H892" s="489"/>
      <c r="I892" s="489"/>
      <c r="J892" s="490"/>
    </row>
    <row r="893" spans="1:10" x14ac:dyDescent="0.25">
      <c r="A893" s="488"/>
      <c r="B893" s="489"/>
      <c r="C893" s="489"/>
      <c r="D893" s="489"/>
      <c r="E893" s="489"/>
      <c r="F893" s="489"/>
      <c r="G893" s="489"/>
      <c r="H893" s="489"/>
      <c r="I893" s="489"/>
      <c r="J893" s="490"/>
    </row>
    <row r="894" spans="1:10" x14ac:dyDescent="0.25">
      <c r="A894" s="488"/>
      <c r="B894" s="489"/>
      <c r="C894" s="489"/>
      <c r="D894" s="489"/>
      <c r="E894" s="489"/>
      <c r="F894" s="489"/>
      <c r="G894" s="489"/>
      <c r="H894" s="489"/>
      <c r="I894" s="489"/>
      <c r="J894" s="490"/>
    </row>
    <row r="895" spans="1:10" x14ac:dyDescent="0.25">
      <c r="A895" s="488"/>
      <c r="B895" s="489"/>
      <c r="C895" s="489"/>
      <c r="D895" s="489"/>
      <c r="E895" s="489"/>
      <c r="F895" s="489"/>
      <c r="G895" s="489"/>
      <c r="H895" s="489"/>
      <c r="I895" s="489"/>
      <c r="J895" s="490"/>
    </row>
    <row r="896" spans="1:10" x14ac:dyDescent="0.25">
      <c r="A896" s="488"/>
      <c r="B896" s="489"/>
      <c r="C896" s="489"/>
      <c r="D896" s="489"/>
      <c r="E896" s="489"/>
      <c r="F896" s="489"/>
      <c r="G896" s="489"/>
      <c r="H896" s="489"/>
      <c r="I896" s="489"/>
      <c r="J896" s="490"/>
    </row>
    <row r="897" spans="1:10" x14ac:dyDescent="0.25">
      <c r="A897" s="488"/>
      <c r="B897" s="489"/>
      <c r="C897" s="489"/>
      <c r="D897" s="489"/>
      <c r="E897" s="489"/>
      <c r="F897" s="489"/>
      <c r="G897" s="489"/>
      <c r="H897" s="489"/>
      <c r="I897" s="489"/>
      <c r="J897" s="490"/>
    </row>
    <row r="898" spans="1:10" x14ac:dyDescent="0.25">
      <c r="A898" s="488"/>
      <c r="B898" s="489"/>
      <c r="C898" s="489"/>
      <c r="D898" s="489"/>
      <c r="E898" s="489"/>
      <c r="F898" s="489"/>
      <c r="G898" s="489"/>
      <c r="H898" s="489"/>
      <c r="I898" s="489"/>
      <c r="J898" s="490"/>
    </row>
    <row r="899" spans="1:10" x14ac:dyDescent="0.25">
      <c r="A899" s="488"/>
      <c r="B899" s="489"/>
      <c r="C899" s="489"/>
      <c r="D899" s="489"/>
      <c r="E899" s="489"/>
      <c r="F899" s="489"/>
      <c r="G899" s="489"/>
      <c r="H899" s="489"/>
      <c r="I899" s="489"/>
      <c r="J899" s="490"/>
    </row>
    <row r="900" spans="1:10" x14ac:dyDescent="0.25">
      <c r="A900" s="488"/>
      <c r="B900" s="489"/>
      <c r="C900" s="489"/>
      <c r="D900" s="489"/>
      <c r="E900" s="489"/>
      <c r="F900" s="489"/>
      <c r="G900" s="489"/>
      <c r="H900" s="489"/>
      <c r="I900" s="489"/>
      <c r="J900" s="490"/>
    </row>
    <row r="901" spans="1:10" x14ac:dyDescent="0.25">
      <c r="A901" s="488"/>
      <c r="B901" s="489"/>
      <c r="C901" s="489"/>
      <c r="D901" s="489"/>
      <c r="E901" s="489"/>
      <c r="F901" s="489"/>
      <c r="G901" s="489"/>
      <c r="H901" s="489"/>
      <c r="I901" s="489"/>
      <c r="J901" s="490"/>
    </row>
    <row r="902" spans="1:10" x14ac:dyDescent="0.25">
      <c r="A902" s="488"/>
      <c r="B902" s="489"/>
      <c r="C902" s="489"/>
      <c r="D902" s="489"/>
      <c r="E902" s="489"/>
      <c r="F902" s="489"/>
      <c r="G902" s="489"/>
      <c r="H902" s="489"/>
      <c r="I902" s="489"/>
      <c r="J902" s="490"/>
    </row>
    <row r="903" spans="1:10" x14ac:dyDescent="0.25">
      <c r="A903" s="488"/>
      <c r="B903" s="489"/>
      <c r="C903" s="489"/>
      <c r="D903" s="489"/>
      <c r="E903" s="489"/>
      <c r="F903" s="489"/>
      <c r="G903" s="489"/>
      <c r="H903" s="489"/>
      <c r="I903" s="489"/>
      <c r="J903" s="490"/>
    </row>
    <row r="904" spans="1:10" x14ac:dyDescent="0.25">
      <c r="A904" s="488"/>
      <c r="B904" s="489"/>
      <c r="C904" s="489"/>
      <c r="D904" s="489"/>
      <c r="E904" s="489"/>
      <c r="F904" s="489"/>
      <c r="G904" s="489"/>
      <c r="H904" s="489"/>
      <c r="I904" s="489"/>
      <c r="J904" s="490"/>
    </row>
    <row r="905" spans="1:10" x14ac:dyDescent="0.25">
      <c r="A905" s="488"/>
      <c r="B905" s="489"/>
      <c r="C905" s="489"/>
      <c r="D905" s="489"/>
      <c r="E905" s="489"/>
      <c r="F905" s="489"/>
      <c r="G905" s="489"/>
      <c r="H905" s="489"/>
      <c r="I905" s="489"/>
      <c r="J905" s="490"/>
    </row>
    <row r="906" spans="1:10" x14ac:dyDescent="0.25">
      <c r="A906" s="488"/>
      <c r="B906" s="489"/>
      <c r="C906" s="489"/>
      <c r="D906" s="489"/>
      <c r="E906" s="489"/>
      <c r="F906" s="489"/>
      <c r="G906" s="489"/>
      <c r="H906" s="489"/>
      <c r="I906" s="489"/>
      <c r="J906" s="490"/>
    </row>
    <row r="907" spans="1:10" x14ac:dyDescent="0.25">
      <c r="A907" s="488"/>
      <c r="B907" s="489"/>
      <c r="C907" s="489"/>
      <c r="D907" s="489"/>
      <c r="E907" s="489"/>
      <c r="F907" s="489"/>
      <c r="G907" s="489"/>
      <c r="H907" s="489"/>
      <c r="I907" s="489"/>
      <c r="J907" s="490"/>
    </row>
    <row r="908" spans="1:10" x14ac:dyDescent="0.25">
      <c r="A908" s="488"/>
      <c r="B908" s="489"/>
      <c r="C908" s="489"/>
      <c r="D908" s="489"/>
      <c r="E908" s="489"/>
      <c r="F908" s="489"/>
      <c r="G908" s="489"/>
      <c r="H908" s="489"/>
      <c r="I908" s="489"/>
      <c r="J908" s="490"/>
    </row>
    <row r="909" spans="1:10" x14ac:dyDescent="0.25">
      <c r="A909" s="488"/>
      <c r="B909" s="489"/>
      <c r="C909" s="489"/>
      <c r="D909" s="489"/>
      <c r="E909" s="489"/>
      <c r="F909" s="489"/>
      <c r="G909" s="489"/>
      <c r="H909" s="489"/>
      <c r="I909" s="489"/>
      <c r="J909" s="490"/>
    </row>
    <row r="910" spans="1:10" x14ac:dyDescent="0.25">
      <c r="A910" s="488"/>
      <c r="B910" s="489"/>
      <c r="C910" s="489"/>
      <c r="D910" s="489"/>
      <c r="E910" s="489"/>
      <c r="F910" s="489"/>
      <c r="G910" s="489"/>
      <c r="H910" s="489"/>
      <c r="I910" s="489"/>
      <c r="J910" s="490"/>
    </row>
    <row r="911" spans="1:10" x14ac:dyDescent="0.25">
      <c r="A911" s="488"/>
      <c r="B911" s="489"/>
      <c r="C911" s="489"/>
      <c r="D911" s="489"/>
      <c r="E911" s="489"/>
      <c r="F911" s="489"/>
      <c r="G911" s="489"/>
      <c r="H911" s="489"/>
      <c r="I911" s="489"/>
      <c r="J911" s="490"/>
    </row>
    <row r="912" spans="1:10" x14ac:dyDescent="0.25">
      <c r="A912" s="488"/>
      <c r="B912" s="489"/>
      <c r="C912" s="489"/>
      <c r="D912" s="489"/>
      <c r="E912" s="489"/>
      <c r="F912" s="489"/>
      <c r="G912" s="489"/>
      <c r="H912" s="489"/>
      <c r="I912" s="489"/>
      <c r="J912" s="490"/>
    </row>
    <row r="913" spans="1:10" x14ac:dyDescent="0.25">
      <c r="A913" s="488"/>
      <c r="B913" s="489"/>
      <c r="C913" s="489"/>
      <c r="D913" s="489"/>
      <c r="E913" s="489"/>
      <c r="F913" s="489"/>
      <c r="G913" s="489"/>
      <c r="H913" s="489"/>
      <c r="I913" s="489"/>
      <c r="J913" s="490"/>
    </row>
    <row r="914" spans="1:10" x14ac:dyDescent="0.25">
      <c r="A914" s="488"/>
      <c r="B914" s="489"/>
      <c r="C914" s="489"/>
      <c r="D914" s="489"/>
      <c r="E914" s="489"/>
      <c r="F914" s="489"/>
      <c r="G914" s="489"/>
      <c r="H914" s="489"/>
      <c r="I914" s="489"/>
      <c r="J914" s="490"/>
    </row>
    <row r="915" spans="1:10" x14ac:dyDescent="0.25">
      <c r="A915" s="488"/>
      <c r="B915" s="489"/>
      <c r="C915" s="489"/>
      <c r="D915" s="489"/>
      <c r="E915" s="489"/>
      <c r="F915" s="489"/>
      <c r="G915" s="489"/>
      <c r="H915" s="489"/>
      <c r="I915" s="489"/>
      <c r="J915" s="490"/>
    </row>
    <row r="916" spans="1:10" x14ac:dyDescent="0.25">
      <c r="A916" s="488"/>
      <c r="B916" s="489"/>
      <c r="C916" s="489"/>
      <c r="D916" s="489"/>
      <c r="E916" s="489"/>
      <c r="F916" s="489"/>
      <c r="G916" s="489"/>
      <c r="H916" s="489"/>
      <c r="I916" s="489"/>
      <c r="J916" s="490"/>
    </row>
    <row r="917" spans="1:10" x14ac:dyDescent="0.25">
      <c r="A917" s="488"/>
      <c r="B917" s="489"/>
      <c r="C917" s="489"/>
      <c r="D917" s="489"/>
      <c r="E917" s="489"/>
      <c r="F917" s="489"/>
      <c r="G917" s="489"/>
      <c r="H917" s="489"/>
      <c r="I917" s="489"/>
      <c r="J917" s="490"/>
    </row>
    <row r="918" spans="1:10" x14ac:dyDescent="0.25">
      <c r="A918" s="488"/>
      <c r="B918" s="489"/>
      <c r="C918" s="489"/>
      <c r="D918" s="489"/>
      <c r="E918" s="489"/>
      <c r="F918" s="489"/>
      <c r="G918" s="489"/>
      <c r="H918" s="489"/>
      <c r="I918" s="489"/>
      <c r="J918" s="490"/>
    </row>
    <row r="919" spans="1:10" x14ac:dyDescent="0.25">
      <c r="A919" s="488"/>
      <c r="B919" s="489"/>
      <c r="C919" s="489"/>
      <c r="D919" s="489"/>
      <c r="E919" s="489"/>
      <c r="F919" s="489"/>
      <c r="G919" s="489"/>
      <c r="H919" s="489"/>
      <c r="I919" s="489"/>
      <c r="J919" s="490"/>
    </row>
    <row r="920" spans="1:10" x14ac:dyDescent="0.25">
      <c r="A920" s="488"/>
      <c r="B920" s="489"/>
      <c r="C920" s="489"/>
      <c r="D920" s="489"/>
      <c r="E920" s="489"/>
      <c r="F920" s="489"/>
      <c r="G920" s="489"/>
      <c r="H920" s="489"/>
      <c r="I920" s="489"/>
      <c r="J920" s="490"/>
    </row>
    <row r="921" spans="1:10" x14ac:dyDescent="0.25">
      <c r="A921" s="488"/>
      <c r="B921" s="489"/>
      <c r="C921" s="489"/>
      <c r="D921" s="489"/>
      <c r="E921" s="489"/>
      <c r="F921" s="489"/>
      <c r="G921" s="489"/>
      <c r="H921" s="489"/>
      <c r="I921" s="489"/>
      <c r="J921" s="490"/>
    </row>
    <row r="922" spans="1:10" x14ac:dyDescent="0.25">
      <c r="A922" s="488"/>
      <c r="B922" s="489"/>
      <c r="C922" s="489"/>
      <c r="D922" s="489"/>
      <c r="E922" s="489"/>
      <c r="F922" s="489"/>
      <c r="G922" s="489"/>
      <c r="H922" s="489"/>
      <c r="I922" s="489"/>
      <c r="J922" s="490"/>
    </row>
    <row r="923" spans="1:10" x14ac:dyDescent="0.25">
      <c r="A923" s="488"/>
      <c r="B923" s="489"/>
      <c r="C923" s="489"/>
      <c r="D923" s="489"/>
      <c r="E923" s="489"/>
      <c r="F923" s="489"/>
      <c r="G923" s="489"/>
      <c r="H923" s="489"/>
      <c r="I923" s="489"/>
      <c r="J923" s="490"/>
    </row>
    <row r="924" spans="1:10" x14ac:dyDescent="0.25">
      <c r="A924" s="491"/>
      <c r="B924" s="492"/>
      <c r="C924" s="492"/>
      <c r="D924" s="492"/>
      <c r="E924" s="492"/>
      <c r="F924" s="492"/>
      <c r="G924" s="492"/>
      <c r="H924" s="492"/>
      <c r="I924" s="492"/>
      <c r="J924" s="493"/>
    </row>
    <row r="926" spans="1:10" ht="15.6" x14ac:dyDescent="0.3">
      <c r="A926" s="355" t="s">
        <v>848</v>
      </c>
      <c r="B926" s="356"/>
      <c r="C926" s="356"/>
      <c r="D926" s="356"/>
      <c r="E926" s="356"/>
      <c r="F926" s="356"/>
      <c r="G926" s="356"/>
      <c r="H926" s="353" t="str">
        <f>'CONTACT INFORMATION'!$A$24</f>
        <v>Alameda</v>
      </c>
      <c r="I926" s="353"/>
      <c r="J926" s="354"/>
    </row>
    <row r="927" spans="1:10" ht="8.4" customHeight="1" x14ac:dyDescent="0.25">
      <c r="A927" s="163"/>
      <c r="B927" s="163"/>
      <c r="C927" s="163"/>
      <c r="D927" s="163"/>
      <c r="E927" s="163"/>
      <c r="F927" s="163"/>
      <c r="G927" s="163"/>
      <c r="H927" s="163"/>
      <c r="I927" s="163"/>
      <c r="J927" s="163"/>
    </row>
    <row r="928" spans="1:10" ht="13.8" x14ac:dyDescent="0.25">
      <c r="A928" s="466" t="s">
        <v>869</v>
      </c>
      <c r="B928" s="467"/>
      <c r="C928" s="467"/>
      <c r="D928" s="467"/>
      <c r="E928" s="467"/>
      <c r="F928" s="467"/>
      <c r="G928" s="467"/>
      <c r="H928" s="467"/>
      <c r="I928" s="467"/>
      <c r="J928" s="468"/>
    </row>
    <row r="929" spans="1:10" x14ac:dyDescent="0.25">
      <c r="A929" s="463" t="s">
        <v>854</v>
      </c>
      <c r="B929" s="464"/>
      <c r="C929" s="464"/>
      <c r="D929" s="465"/>
      <c r="E929" s="544" t="s">
        <v>955</v>
      </c>
      <c r="F929" s="545"/>
      <c r="G929" s="545"/>
      <c r="H929" s="545"/>
      <c r="I929" s="545"/>
      <c r="J929" s="546"/>
    </row>
    <row r="930" spans="1:10" x14ac:dyDescent="0.25">
      <c r="A930" s="503" t="s">
        <v>853</v>
      </c>
      <c r="B930" s="504"/>
      <c r="C930" s="504"/>
      <c r="D930" s="505"/>
      <c r="E930" s="547"/>
      <c r="F930" s="548"/>
      <c r="G930" s="548"/>
      <c r="H930" s="548"/>
      <c r="I930" s="548"/>
      <c r="J930" s="549"/>
    </row>
    <row r="931" spans="1:10" x14ac:dyDescent="0.25">
      <c r="A931" s="541" t="s">
        <v>808</v>
      </c>
      <c r="B931" s="542"/>
      <c r="C931" s="542"/>
      <c r="D931" s="543"/>
      <c r="E931" s="479" t="s">
        <v>510</v>
      </c>
      <c r="F931" s="480"/>
      <c r="G931" s="480"/>
      <c r="H931" s="480"/>
      <c r="I931" s="480"/>
      <c r="J931" s="481"/>
    </row>
    <row r="932" spans="1:10" ht="27" customHeight="1" x14ac:dyDescent="0.25">
      <c r="A932" s="157"/>
      <c r="B932" s="208"/>
      <c r="C932" s="208"/>
      <c r="D932" s="208"/>
      <c r="E932" s="482" t="s">
        <v>535</v>
      </c>
      <c r="F932" s="483"/>
      <c r="G932" s="482" t="s">
        <v>533</v>
      </c>
      <c r="H932" s="483"/>
      <c r="I932" s="484" t="s">
        <v>849</v>
      </c>
      <c r="J932" s="485"/>
    </row>
    <row r="933" spans="1:10" x14ac:dyDescent="0.25">
      <c r="A933" s="448" t="s">
        <v>527</v>
      </c>
      <c r="B933" s="449"/>
      <c r="C933" s="449"/>
      <c r="D933" s="450"/>
      <c r="E933" s="456"/>
      <c r="F933" s="456"/>
      <c r="G933" s="456"/>
      <c r="H933" s="456"/>
      <c r="I933" s="457"/>
      <c r="J933" s="457"/>
    </row>
    <row r="934" spans="1:10" x14ac:dyDescent="0.25">
      <c r="A934" s="452" t="s">
        <v>528</v>
      </c>
      <c r="B934" s="453"/>
      <c r="C934" s="453"/>
      <c r="D934" s="454"/>
      <c r="E934" s="439"/>
      <c r="F934" s="439"/>
      <c r="G934" s="440"/>
      <c r="H934" s="440"/>
      <c r="I934" s="455"/>
      <c r="J934" s="455"/>
    </row>
    <row r="935" spans="1:10" x14ac:dyDescent="0.25">
      <c r="A935" s="448" t="s">
        <v>529</v>
      </c>
      <c r="B935" s="449"/>
      <c r="C935" s="449"/>
      <c r="D935" s="450"/>
      <c r="E935" s="456"/>
      <c r="F935" s="456"/>
      <c r="G935" s="456">
        <v>24895</v>
      </c>
      <c r="H935" s="456"/>
      <c r="I935" s="457"/>
      <c r="J935" s="457"/>
    </row>
    <row r="936" spans="1:10" x14ac:dyDescent="0.25">
      <c r="A936" s="452" t="s">
        <v>530</v>
      </c>
      <c r="B936" s="453"/>
      <c r="C936" s="453"/>
      <c r="D936" s="454"/>
      <c r="E936" s="439"/>
      <c r="F936" s="439"/>
      <c r="G936" s="440"/>
      <c r="H936" s="440"/>
      <c r="I936" s="455"/>
      <c r="J936" s="455"/>
    </row>
    <row r="937" spans="1:10" x14ac:dyDescent="0.25">
      <c r="A937" s="448" t="s">
        <v>531</v>
      </c>
      <c r="B937" s="449"/>
      <c r="C937" s="449"/>
      <c r="D937" s="450"/>
      <c r="E937" s="456"/>
      <c r="F937" s="456"/>
      <c r="G937" s="456"/>
      <c r="H937" s="456"/>
      <c r="I937" s="457"/>
      <c r="J937" s="457"/>
    </row>
    <row r="938" spans="1:10" x14ac:dyDescent="0.25">
      <c r="A938" s="452" t="s">
        <v>532</v>
      </c>
      <c r="B938" s="453"/>
      <c r="C938" s="453"/>
      <c r="D938" s="454"/>
      <c r="E938" s="439"/>
      <c r="F938" s="439"/>
      <c r="G938" s="440"/>
      <c r="H938" s="440"/>
      <c r="I938" s="455"/>
      <c r="J938" s="455"/>
    </row>
    <row r="939" spans="1:10" x14ac:dyDescent="0.25">
      <c r="A939" s="448" t="s">
        <v>537</v>
      </c>
      <c r="B939" s="449"/>
      <c r="C939" s="449"/>
      <c r="D939" s="450"/>
      <c r="E939" s="451"/>
      <c r="F939" s="451"/>
      <c r="G939" s="451"/>
      <c r="H939" s="451"/>
      <c r="I939" s="445"/>
      <c r="J939" s="445"/>
    </row>
    <row r="940" spans="1:10" x14ac:dyDescent="0.25">
      <c r="A940" s="436"/>
      <c r="B940" s="437"/>
      <c r="C940" s="437"/>
      <c r="D940" s="438"/>
      <c r="E940" s="439"/>
      <c r="F940" s="439"/>
      <c r="G940" s="440"/>
      <c r="H940" s="440"/>
      <c r="I940" s="440"/>
      <c r="J940" s="440"/>
    </row>
    <row r="941" spans="1:10" x14ac:dyDescent="0.25">
      <c r="A941" s="436"/>
      <c r="B941" s="437"/>
      <c r="C941" s="437"/>
      <c r="D941" s="438"/>
      <c r="E941" s="439"/>
      <c r="F941" s="439"/>
      <c r="G941" s="440"/>
      <c r="H941" s="440"/>
      <c r="I941" s="440"/>
      <c r="J941" s="440"/>
    </row>
    <row r="942" spans="1:10" x14ac:dyDescent="0.25">
      <c r="A942" s="436"/>
      <c r="B942" s="437"/>
      <c r="C942" s="437"/>
      <c r="D942" s="438"/>
      <c r="E942" s="439"/>
      <c r="F942" s="439"/>
      <c r="G942" s="440"/>
      <c r="H942" s="440"/>
      <c r="I942" s="440"/>
      <c r="J942" s="440"/>
    </row>
    <row r="943" spans="1:10" x14ac:dyDescent="0.25">
      <c r="A943" s="441" t="s">
        <v>534</v>
      </c>
      <c r="B943" s="442"/>
      <c r="C943" s="442"/>
      <c r="D943" s="443"/>
      <c r="E943" s="444">
        <f>SUM(E933:E942)</f>
        <v>0</v>
      </c>
      <c r="F943" s="444"/>
      <c r="G943" s="444">
        <f>SUM(G933:G942)</f>
        <v>24895</v>
      </c>
      <c r="H943" s="444"/>
      <c r="I943" s="444">
        <f>SUM(I933:I942)</f>
        <v>0</v>
      </c>
      <c r="J943" s="444"/>
    </row>
    <row r="944" spans="1:10" x14ac:dyDescent="0.25">
      <c r="A944" s="494" t="s">
        <v>861</v>
      </c>
      <c r="B944" s="495"/>
      <c r="C944" s="495"/>
      <c r="D944" s="495"/>
      <c r="E944" s="495"/>
      <c r="F944" s="495"/>
      <c r="G944" s="495"/>
      <c r="H944" s="495"/>
      <c r="I944" s="495"/>
      <c r="J944" s="496"/>
    </row>
    <row r="945" spans="1:10" x14ac:dyDescent="0.25">
      <c r="A945" s="497" t="s">
        <v>862</v>
      </c>
      <c r="B945" s="498"/>
      <c r="C945" s="498"/>
      <c r="D945" s="498"/>
      <c r="E945" s="498"/>
      <c r="F945" s="498"/>
      <c r="G945" s="498"/>
      <c r="H945" s="498"/>
      <c r="I945" s="498"/>
      <c r="J945" s="499"/>
    </row>
    <row r="946" spans="1:10" x14ac:dyDescent="0.25">
      <c r="A946" s="497" t="s">
        <v>863</v>
      </c>
      <c r="B946" s="498"/>
      <c r="C946" s="498"/>
      <c r="D946" s="498"/>
      <c r="E946" s="498"/>
      <c r="F946" s="498"/>
      <c r="G946" s="498"/>
      <c r="H946" s="498"/>
      <c r="I946" s="498"/>
      <c r="J946" s="499"/>
    </row>
    <row r="947" spans="1:10" x14ac:dyDescent="0.25">
      <c r="A947" s="500" t="s">
        <v>864</v>
      </c>
      <c r="B947" s="501"/>
      <c r="C947" s="501"/>
      <c r="D947" s="501"/>
      <c r="E947" s="501"/>
      <c r="F947" s="501"/>
      <c r="G947" s="501"/>
      <c r="H947" s="501"/>
      <c r="I947" s="501"/>
      <c r="J947" s="502"/>
    </row>
    <row r="948" spans="1:10" ht="13.2" customHeight="1" x14ac:dyDescent="0.25">
      <c r="A948" s="305" t="s">
        <v>978</v>
      </c>
      <c r="B948" s="486"/>
      <c r="C948" s="486"/>
      <c r="D948" s="486"/>
      <c r="E948" s="486"/>
      <c r="F948" s="486"/>
      <c r="G948" s="486"/>
      <c r="H948" s="486"/>
      <c r="I948" s="486"/>
      <c r="J948" s="487"/>
    </row>
    <row r="949" spans="1:10" x14ac:dyDescent="0.25">
      <c r="A949" s="488"/>
      <c r="B949" s="489"/>
      <c r="C949" s="489"/>
      <c r="D949" s="489"/>
      <c r="E949" s="489"/>
      <c r="F949" s="489"/>
      <c r="G949" s="489"/>
      <c r="H949" s="489"/>
      <c r="I949" s="489"/>
      <c r="J949" s="490"/>
    </row>
    <row r="950" spans="1:10" x14ac:dyDescent="0.25">
      <c r="A950" s="488"/>
      <c r="B950" s="489"/>
      <c r="C950" s="489"/>
      <c r="D950" s="489"/>
      <c r="E950" s="489"/>
      <c r="F950" s="489"/>
      <c r="G950" s="489"/>
      <c r="H950" s="489"/>
      <c r="I950" s="489"/>
      <c r="J950" s="490"/>
    </row>
    <row r="951" spans="1:10" x14ac:dyDescent="0.25">
      <c r="A951" s="488"/>
      <c r="B951" s="489"/>
      <c r="C951" s="489"/>
      <c r="D951" s="489"/>
      <c r="E951" s="489"/>
      <c r="F951" s="489"/>
      <c r="G951" s="489"/>
      <c r="H951" s="489"/>
      <c r="I951" s="489"/>
      <c r="J951" s="490"/>
    </row>
    <row r="952" spans="1:10" x14ac:dyDescent="0.25">
      <c r="A952" s="488"/>
      <c r="B952" s="489"/>
      <c r="C952" s="489"/>
      <c r="D952" s="489"/>
      <c r="E952" s="489"/>
      <c r="F952" s="489"/>
      <c r="G952" s="489"/>
      <c r="H952" s="489"/>
      <c r="I952" s="489"/>
      <c r="J952" s="490"/>
    </row>
    <row r="953" spans="1:10" x14ac:dyDescent="0.25">
      <c r="A953" s="488"/>
      <c r="B953" s="489"/>
      <c r="C953" s="489"/>
      <c r="D953" s="489"/>
      <c r="E953" s="489"/>
      <c r="F953" s="489"/>
      <c r="G953" s="489"/>
      <c r="H953" s="489"/>
      <c r="I953" s="489"/>
      <c r="J953" s="490"/>
    </row>
    <row r="954" spans="1:10" x14ac:dyDescent="0.25">
      <c r="A954" s="488"/>
      <c r="B954" s="489"/>
      <c r="C954" s="489"/>
      <c r="D954" s="489"/>
      <c r="E954" s="489"/>
      <c r="F954" s="489"/>
      <c r="G954" s="489"/>
      <c r="H954" s="489"/>
      <c r="I954" s="489"/>
      <c r="J954" s="490"/>
    </row>
    <row r="955" spans="1:10" x14ac:dyDescent="0.25">
      <c r="A955" s="488"/>
      <c r="B955" s="489"/>
      <c r="C955" s="489"/>
      <c r="D955" s="489"/>
      <c r="E955" s="489"/>
      <c r="F955" s="489"/>
      <c r="G955" s="489"/>
      <c r="H955" s="489"/>
      <c r="I955" s="489"/>
      <c r="J955" s="490"/>
    </row>
    <row r="956" spans="1:10" x14ac:dyDescent="0.25">
      <c r="A956" s="488"/>
      <c r="B956" s="489"/>
      <c r="C956" s="489"/>
      <c r="D956" s="489"/>
      <c r="E956" s="489"/>
      <c r="F956" s="489"/>
      <c r="G956" s="489"/>
      <c r="H956" s="489"/>
      <c r="I956" s="489"/>
      <c r="J956" s="490"/>
    </row>
    <row r="957" spans="1:10" x14ac:dyDescent="0.25">
      <c r="A957" s="488"/>
      <c r="B957" s="489"/>
      <c r="C957" s="489"/>
      <c r="D957" s="489"/>
      <c r="E957" s="489"/>
      <c r="F957" s="489"/>
      <c r="G957" s="489"/>
      <c r="H957" s="489"/>
      <c r="I957" s="489"/>
      <c r="J957" s="490"/>
    </row>
    <row r="958" spans="1:10" x14ac:dyDescent="0.25">
      <c r="A958" s="488"/>
      <c r="B958" s="489"/>
      <c r="C958" s="489"/>
      <c r="D958" s="489"/>
      <c r="E958" s="489"/>
      <c r="F958" s="489"/>
      <c r="G958" s="489"/>
      <c r="H958" s="489"/>
      <c r="I958" s="489"/>
      <c r="J958" s="490"/>
    </row>
    <row r="959" spans="1:10" x14ac:dyDescent="0.25">
      <c r="A959" s="488"/>
      <c r="B959" s="489"/>
      <c r="C959" s="489"/>
      <c r="D959" s="489"/>
      <c r="E959" s="489"/>
      <c r="F959" s="489"/>
      <c r="G959" s="489"/>
      <c r="H959" s="489"/>
      <c r="I959" s="489"/>
      <c r="J959" s="490"/>
    </row>
    <row r="960" spans="1:10" x14ac:dyDescent="0.25">
      <c r="A960" s="488"/>
      <c r="B960" s="489"/>
      <c r="C960" s="489"/>
      <c r="D960" s="489"/>
      <c r="E960" s="489"/>
      <c r="F960" s="489"/>
      <c r="G960" s="489"/>
      <c r="H960" s="489"/>
      <c r="I960" s="489"/>
      <c r="J960" s="490"/>
    </row>
    <row r="961" spans="1:10" x14ac:dyDescent="0.25">
      <c r="A961" s="488"/>
      <c r="B961" s="489"/>
      <c r="C961" s="489"/>
      <c r="D961" s="489"/>
      <c r="E961" s="489"/>
      <c r="F961" s="489"/>
      <c r="G961" s="489"/>
      <c r="H961" s="489"/>
      <c r="I961" s="489"/>
      <c r="J961" s="490"/>
    </row>
    <row r="962" spans="1:10" x14ac:dyDescent="0.25">
      <c r="A962" s="488"/>
      <c r="B962" s="489"/>
      <c r="C962" s="489"/>
      <c r="D962" s="489"/>
      <c r="E962" s="489"/>
      <c r="F962" s="489"/>
      <c r="G962" s="489"/>
      <c r="H962" s="489"/>
      <c r="I962" s="489"/>
      <c r="J962" s="490"/>
    </row>
    <row r="963" spans="1:10" x14ac:dyDescent="0.25">
      <c r="A963" s="488"/>
      <c r="B963" s="489"/>
      <c r="C963" s="489"/>
      <c r="D963" s="489"/>
      <c r="E963" s="489"/>
      <c r="F963" s="489"/>
      <c r="G963" s="489"/>
      <c r="H963" s="489"/>
      <c r="I963" s="489"/>
      <c r="J963" s="490"/>
    </row>
    <row r="964" spans="1:10" x14ac:dyDescent="0.25">
      <c r="A964" s="488"/>
      <c r="B964" s="489"/>
      <c r="C964" s="489"/>
      <c r="D964" s="489"/>
      <c r="E964" s="489"/>
      <c r="F964" s="489"/>
      <c r="G964" s="489"/>
      <c r="H964" s="489"/>
      <c r="I964" s="489"/>
      <c r="J964" s="490"/>
    </row>
    <row r="965" spans="1:10" x14ac:dyDescent="0.25">
      <c r="A965" s="488"/>
      <c r="B965" s="489"/>
      <c r="C965" s="489"/>
      <c r="D965" s="489"/>
      <c r="E965" s="489"/>
      <c r="F965" s="489"/>
      <c r="G965" s="489"/>
      <c r="H965" s="489"/>
      <c r="I965" s="489"/>
      <c r="J965" s="490"/>
    </row>
    <row r="966" spans="1:10" x14ac:dyDescent="0.25">
      <c r="A966" s="488"/>
      <c r="B966" s="489"/>
      <c r="C966" s="489"/>
      <c r="D966" s="489"/>
      <c r="E966" s="489"/>
      <c r="F966" s="489"/>
      <c r="G966" s="489"/>
      <c r="H966" s="489"/>
      <c r="I966" s="489"/>
      <c r="J966" s="490"/>
    </row>
    <row r="967" spans="1:10" x14ac:dyDescent="0.25">
      <c r="A967" s="488"/>
      <c r="B967" s="489"/>
      <c r="C967" s="489"/>
      <c r="D967" s="489"/>
      <c r="E967" s="489"/>
      <c r="F967" s="489"/>
      <c r="G967" s="489"/>
      <c r="H967" s="489"/>
      <c r="I967" s="489"/>
      <c r="J967" s="490"/>
    </row>
    <row r="968" spans="1:10" x14ac:dyDescent="0.25">
      <c r="A968" s="488"/>
      <c r="B968" s="489"/>
      <c r="C968" s="489"/>
      <c r="D968" s="489"/>
      <c r="E968" s="489"/>
      <c r="F968" s="489"/>
      <c r="G968" s="489"/>
      <c r="H968" s="489"/>
      <c r="I968" s="489"/>
      <c r="J968" s="490"/>
    </row>
    <row r="969" spans="1:10" x14ac:dyDescent="0.25">
      <c r="A969" s="488"/>
      <c r="B969" s="489"/>
      <c r="C969" s="489"/>
      <c r="D969" s="489"/>
      <c r="E969" s="489"/>
      <c r="F969" s="489"/>
      <c r="G969" s="489"/>
      <c r="H969" s="489"/>
      <c r="I969" s="489"/>
      <c r="J969" s="490"/>
    </row>
    <row r="970" spans="1:10" x14ac:dyDescent="0.25">
      <c r="A970" s="488"/>
      <c r="B970" s="489"/>
      <c r="C970" s="489"/>
      <c r="D970" s="489"/>
      <c r="E970" s="489"/>
      <c r="F970" s="489"/>
      <c r="G970" s="489"/>
      <c r="H970" s="489"/>
      <c r="I970" s="489"/>
      <c r="J970" s="490"/>
    </row>
    <row r="971" spans="1:10" x14ac:dyDescent="0.25">
      <c r="A971" s="488"/>
      <c r="B971" s="489"/>
      <c r="C971" s="489"/>
      <c r="D971" s="489"/>
      <c r="E971" s="489"/>
      <c r="F971" s="489"/>
      <c r="G971" s="489"/>
      <c r="H971" s="489"/>
      <c r="I971" s="489"/>
      <c r="J971" s="490"/>
    </row>
    <row r="972" spans="1:10" x14ac:dyDescent="0.25">
      <c r="A972" s="488"/>
      <c r="B972" s="489"/>
      <c r="C972" s="489"/>
      <c r="D972" s="489"/>
      <c r="E972" s="489"/>
      <c r="F972" s="489"/>
      <c r="G972" s="489"/>
      <c r="H972" s="489"/>
      <c r="I972" s="489"/>
      <c r="J972" s="490"/>
    </row>
    <row r="973" spans="1:10" x14ac:dyDescent="0.25">
      <c r="A973" s="488"/>
      <c r="B973" s="489"/>
      <c r="C973" s="489"/>
      <c r="D973" s="489"/>
      <c r="E973" s="489"/>
      <c r="F973" s="489"/>
      <c r="G973" s="489"/>
      <c r="H973" s="489"/>
      <c r="I973" s="489"/>
      <c r="J973" s="490"/>
    </row>
    <row r="974" spans="1:10" x14ac:dyDescent="0.25">
      <c r="A974" s="488"/>
      <c r="B974" s="489"/>
      <c r="C974" s="489"/>
      <c r="D974" s="489"/>
      <c r="E974" s="489"/>
      <c r="F974" s="489"/>
      <c r="G974" s="489"/>
      <c r="H974" s="489"/>
      <c r="I974" s="489"/>
      <c r="J974" s="490"/>
    </row>
    <row r="975" spans="1:10" x14ac:dyDescent="0.25">
      <c r="A975" s="488"/>
      <c r="B975" s="489"/>
      <c r="C975" s="489"/>
      <c r="D975" s="489"/>
      <c r="E975" s="489"/>
      <c r="F975" s="489"/>
      <c r="G975" s="489"/>
      <c r="H975" s="489"/>
      <c r="I975" s="489"/>
      <c r="J975" s="490"/>
    </row>
    <row r="976" spans="1:10" x14ac:dyDescent="0.25">
      <c r="A976" s="488"/>
      <c r="B976" s="489"/>
      <c r="C976" s="489"/>
      <c r="D976" s="489"/>
      <c r="E976" s="489"/>
      <c r="F976" s="489"/>
      <c r="G976" s="489"/>
      <c r="H976" s="489"/>
      <c r="I976" s="489"/>
      <c r="J976" s="490"/>
    </row>
    <row r="977" spans="1:10" x14ac:dyDescent="0.25">
      <c r="A977" s="488"/>
      <c r="B977" s="489"/>
      <c r="C977" s="489"/>
      <c r="D977" s="489"/>
      <c r="E977" s="489"/>
      <c r="F977" s="489"/>
      <c r="G977" s="489"/>
      <c r="H977" s="489"/>
      <c r="I977" s="489"/>
      <c r="J977" s="490"/>
    </row>
    <row r="978" spans="1:10" x14ac:dyDescent="0.25">
      <c r="A978" s="488"/>
      <c r="B978" s="489"/>
      <c r="C978" s="489"/>
      <c r="D978" s="489"/>
      <c r="E978" s="489"/>
      <c r="F978" s="489"/>
      <c r="G978" s="489"/>
      <c r="H978" s="489"/>
      <c r="I978" s="489"/>
      <c r="J978" s="490"/>
    </row>
    <row r="979" spans="1:10" x14ac:dyDescent="0.25">
      <c r="A979" s="488"/>
      <c r="B979" s="489"/>
      <c r="C979" s="489"/>
      <c r="D979" s="489"/>
      <c r="E979" s="489"/>
      <c r="F979" s="489"/>
      <c r="G979" s="489"/>
      <c r="H979" s="489"/>
      <c r="I979" s="489"/>
      <c r="J979" s="490"/>
    </row>
    <row r="980" spans="1:10" x14ac:dyDescent="0.25">
      <c r="A980" s="488"/>
      <c r="B980" s="489"/>
      <c r="C980" s="489"/>
      <c r="D980" s="489"/>
      <c r="E980" s="489"/>
      <c r="F980" s="489"/>
      <c r="G980" s="489"/>
      <c r="H980" s="489"/>
      <c r="I980" s="489"/>
      <c r="J980" s="490"/>
    </row>
    <row r="981" spans="1:10" x14ac:dyDescent="0.25">
      <c r="A981" s="488"/>
      <c r="B981" s="489"/>
      <c r="C981" s="489"/>
      <c r="D981" s="489"/>
      <c r="E981" s="489"/>
      <c r="F981" s="489"/>
      <c r="G981" s="489"/>
      <c r="H981" s="489"/>
      <c r="I981" s="489"/>
      <c r="J981" s="490"/>
    </row>
    <row r="982" spans="1:10" x14ac:dyDescent="0.25">
      <c r="A982" s="491"/>
      <c r="B982" s="492"/>
      <c r="C982" s="492"/>
      <c r="D982" s="492"/>
      <c r="E982" s="492"/>
      <c r="F982" s="492"/>
      <c r="G982" s="492"/>
      <c r="H982" s="492"/>
      <c r="I982" s="492"/>
      <c r="J982" s="493"/>
    </row>
    <row r="985" spans="1:10" ht="8.1" customHeight="1" x14ac:dyDescent="0.25"/>
    <row r="990" spans="1:10" ht="27" customHeight="1" x14ac:dyDescent="0.25"/>
    <row r="1043" ht="8.1" customHeight="1" x14ac:dyDescent="0.25"/>
    <row r="1048" ht="27" customHeight="1" x14ac:dyDescent="0.25"/>
    <row r="1101" ht="8.1" customHeight="1" x14ac:dyDescent="0.25"/>
    <row r="1106" ht="27" customHeight="1" x14ac:dyDescent="0.25"/>
    <row r="1159" ht="8.1" customHeight="1" x14ac:dyDescent="0.25"/>
    <row r="1164" ht="27" customHeight="1" x14ac:dyDescent="0.25"/>
    <row r="1217" ht="8.1" customHeight="1" x14ac:dyDescent="0.25"/>
    <row r="1222" ht="27" customHeight="1" x14ac:dyDescent="0.25"/>
  </sheetData>
  <sheetProtection selectLockedCells="1"/>
  <mergeCells count="925">
    <mergeCell ref="A945:J945"/>
    <mergeCell ref="A946:J946"/>
    <mergeCell ref="A947:J947"/>
    <mergeCell ref="A948:J982"/>
    <mergeCell ref="A942:D942"/>
    <mergeCell ref="E942:F942"/>
    <mergeCell ref="G942:H942"/>
    <mergeCell ref="I942:J942"/>
    <mergeCell ref="A943:D943"/>
    <mergeCell ref="E943:F943"/>
    <mergeCell ref="G943:H943"/>
    <mergeCell ref="I943:J943"/>
    <mergeCell ref="A944:J944"/>
    <mergeCell ref="A939:D939"/>
    <mergeCell ref="E939:F939"/>
    <mergeCell ref="G939:H939"/>
    <mergeCell ref="I939:J939"/>
    <mergeCell ref="A940:D940"/>
    <mergeCell ref="E940:F940"/>
    <mergeCell ref="G940:H940"/>
    <mergeCell ref="I940:J940"/>
    <mergeCell ref="A941:D941"/>
    <mergeCell ref="E941:F941"/>
    <mergeCell ref="G941:H941"/>
    <mergeCell ref="I941:J941"/>
    <mergeCell ref="A936:D936"/>
    <mergeCell ref="E936:F936"/>
    <mergeCell ref="G936:H936"/>
    <mergeCell ref="I936:J936"/>
    <mergeCell ref="A937:D937"/>
    <mergeCell ref="E937:F937"/>
    <mergeCell ref="G937:H937"/>
    <mergeCell ref="I937:J937"/>
    <mergeCell ref="A938:D938"/>
    <mergeCell ref="E938:F938"/>
    <mergeCell ref="G938:H938"/>
    <mergeCell ref="I938:J938"/>
    <mergeCell ref="A933:D933"/>
    <mergeCell ref="E933:F933"/>
    <mergeCell ref="G933:H933"/>
    <mergeCell ref="I933:J933"/>
    <mergeCell ref="A934:D934"/>
    <mergeCell ref="E934:F934"/>
    <mergeCell ref="G934:H934"/>
    <mergeCell ref="I934:J934"/>
    <mergeCell ref="A935:D935"/>
    <mergeCell ref="E935:F935"/>
    <mergeCell ref="G935:H935"/>
    <mergeCell ref="I935:J935"/>
    <mergeCell ref="A926:G926"/>
    <mergeCell ref="H926:J926"/>
    <mergeCell ref="A928:J928"/>
    <mergeCell ref="A929:D929"/>
    <mergeCell ref="E929:J930"/>
    <mergeCell ref="A930:D930"/>
    <mergeCell ref="A931:D931"/>
    <mergeCell ref="E931:J931"/>
    <mergeCell ref="E932:F932"/>
    <mergeCell ref="G932:H932"/>
    <mergeCell ref="I932:J932"/>
    <mergeCell ref="A885:D885"/>
    <mergeCell ref="E885:F885"/>
    <mergeCell ref="G885:H885"/>
    <mergeCell ref="I885:J885"/>
    <mergeCell ref="A886:J886"/>
    <mergeCell ref="A887:J887"/>
    <mergeCell ref="A888:J888"/>
    <mergeCell ref="A889:J889"/>
    <mergeCell ref="A890:J924"/>
    <mergeCell ref="A882:D882"/>
    <mergeCell ref="E882:F882"/>
    <mergeCell ref="G882:H882"/>
    <mergeCell ref="I882:J882"/>
    <mergeCell ref="A883:D883"/>
    <mergeCell ref="E883:F883"/>
    <mergeCell ref="G883:H883"/>
    <mergeCell ref="I883:J883"/>
    <mergeCell ref="A884:D884"/>
    <mergeCell ref="E884:F884"/>
    <mergeCell ref="G884:H884"/>
    <mergeCell ref="I884:J884"/>
    <mergeCell ref="A879:D879"/>
    <mergeCell ref="E879:F879"/>
    <mergeCell ref="G879:H879"/>
    <mergeCell ref="I879:J879"/>
    <mergeCell ref="A880:D880"/>
    <mergeCell ref="E880:F880"/>
    <mergeCell ref="G880:H880"/>
    <mergeCell ref="I880:J880"/>
    <mergeCell ref="A881:D881"/>
    <mergeCell ref="E881:F881"/>
    <mergeCell ref="G881:H881"/>
    <mergeCell ref="I881:J881"/>
    <mergeCell ref="A876:D876"/>
    <mergeCell ref="E876:F876"/>
    <mergeCell ref="G876:H876"/>
    <mergeCell ref="I876:J876"/>
    <mergeCell ref="A877:D877"/>
    <mergeCell ref="E877:F877"/>
    <mergeCell ref="G877:H877"/>
    <mergeCell ref="I877:J877"/>
    <mergeCell ref="A878:D878"/>
    <mergeCell ref="E878:F878"/>
    <mergeCell ref="G878:H878"/>
    <mergeCell ref="I878:J878"/>
    <mergeCell ref="A873:D873"/>
    <mergeCell ref="E873:J873"/>
    <mergeCell ref="E874:F874"/>
    <mergeCell ref="G874:H874"/>
    <mergeCell ref="I874:J874"/>
    <mergeCell ref="A875:D875"/>
    <mergeCell ref="E875:F875"/>
    <mergeCell ref="G875:H875"/>
    <mergeCell ref="I875:J875"/>
    <mergeCell ref="A829:J829"/>
    <mergeCell ref="A830:J830"/>
    <mergeCell ref="A831:J831"/>
    <mergeCell ref="A832:J866"/>
    <mergeCell ref="A868:G868"/>
    <mergeCell ref="H868:J868"/>
    <mergeCell ref="A870:J870"/>
    <mergeCell ref="A871:D871"/>
    <mergeCell ref="E871:J872"/>
    <mergeCell ref="A872:D872"/>
    <mergeCell ref="A826:D826"/>
    <mergeCell ref="E826:F826"/>
    <mergeCell ref="G826:H826"/>
    <mergeCell ref="I826:J826"/>
    <mergeCell ref="A827:D827"/>
    <mergeCell ref="E827:F827"/>
    <mergeCell ref="G827:H827"/>
    <mergeCell ref="I827:J827"/>
    <mergeCell ref="A828:J828"/>
    <mergeCell ref="A823:D823"/>
    <mergeCell ref="E823:F823"/>
    <mergeCell ref="G823:H823"/>
    <mergeCell ref="I823:J823"/>
    <mergeCell ref="A824:D824"/>
    <mergeCell ref="E824:F824"/>
    <mergeCell ref="G824:H824"/>
    <mergeCell ref="I824:J824"/>
    <mergeCell ref="A825:D825"/>
    <mergeCell ref="E825:F825"/>
    <mergeCell ref="G825:H825"/>
    <mergeCell ref="I825:J825"/>
    <mergeCell ref="A820:D820"/>
    <mergeCell ref="E820:F820"/>
    <mergeCell ref="G820:H820"/>
    <mergeCell ref="I820:J820"/>
    <mergeCell ref="A821:D821"/>
    <mergeCell ref="E821:F821"/>
    <mergeCell ref="G821:H821"/>
    <mergeCell ref="I821:J821"/>
    <mergeCell ref="A822:D822"/>
    <mergeCell ref="E822:F822"/>
    <mergeCell ref="G822:H822"/>
    <mergeCell ref="I822:J822"/>
    <mergeCell ref="A817:D817"/>
    <mergeCell ref="E817:F817"/>
    <mergeCell ref="G817:H817"/>
    <mergeCell ref="I817:J817"/>
    <mergeCell ref="A818:D818"/>
    <mergeCell ref="E818:F818"/>
    <mergeCell ref="G818:H818"/>
    <mergeCell ref="I818:J818"/>
    <mergeCell ref="A819:D819"/>
    <mergeCell ref="E819:F819"/>
    <mergeCell ref="G819:H819"/>
    <mergeCell ref="I819:J819"/>
    <mergeCell ref="A810:G810"/>
    <mergeCell ref="H810:J810"/>
    <mergeCell ref="A812:J812"/>
    <mergeCell ref="A813:D813"/>
    <mergeCell ref="E813:J814"/>
    <mergeCell ref="A814:D814"/>
    <mergeCell ref="A815:D815"/>
    <mergeCell ref="E815:J815"/>
    <mergeCell ref="E816:F816"/>
    <mergeCell ref="G816:H816"/>
    <mergeCell ref="I816:J816"/>
    <mergeCell ref="A769:D769"/>
    <mergeCell ref="E769:F769"/>
    <mergeCell ref="G769:H769"/>
    <mergeCell ref="I769:J769"/>
    <mergeCell ref="A770:J770"/>
    <mergeCell ref="A771:J771"/>
    <mergeCell ref="A772:J772"/>
    <mergeCell ref="A773:J773"/>
    <mergeCell ref="A774:J808"/>
    <mergeCell ref="A766:D766"/>
    <mergeCell ref="E766:F766"/>
    <mergeCell ref="G766:H766"/>
    <mergeCell ref="I766:J766"/>
    <mergeCell ref="A767:D767"/>
    <mergeCell ref="E767:F767"/>
    <mergeCell ref="G767:H767"/>
    <mergeCell ref="I767:J767"/>
    <mergeCell ref="A768:D768"/>
    <mergeCell ref="E768:F768"/>
    <mergeCell ref="G768:H768"/>
    <mergeCell ref="I768:J768"/>
    <mergeCell ref="A763:D763"/>
    <mergeCell ref="E763:F763"/>
    <mergeCell ref="G763:H763"/>
    <mergeCell ref="I763:J763"/>
    <mergeCell ref="A764:D764"/>
    <mergeCell ref="E764:F764"/>
    <mergeCell ref="G764:H764"/>
    <mergeCell ref="I764:J764"/>
    <mergeCell ref="A765:D765"/>
    <mergeCell ref="E765:F765"/>
    <mergeCell ref="G765:H765"/>
    <mergeCell ref="I765:J765"/>
    <mergeCell ref="A760:D760"/>
    <mergeCell ref="E760:F760"/>
    <mergeCell ref="G760:H760"/>
    <mergeCell ref="I760:J760"/>
    <mergeCell ref="A761:D761"/>
    <mergeCell ref="E761:F761"/>
    <mergeCell ref="G761:H761"/>
    <mergeCell ref="I761:J761"/>
    <mergeCell ref="A762:D762"/>
    <mergeCell ref="E762:F762"/>
    <mergeCell ref="G762:H762"/>
    <mergeCell ref="I762:J762"/>
    <mergeCell ref="A757:D757"/>
    <mergeCell ref="E757:J757"/>
    <mergeCell ref="E758:F758"/>
    <mergeCell ref="G758:H758"/>
    <mergeCell ref="I758:J758"/>
    <mergeCell ref="A759:D759"/>
    <mergeCell ref="E759:F759"/>
    <mergeCell ref="G759:H759"/>
    <mergeCell ref="I759:J759"/>
    <mergeCell ref="A713:J713"/>
    <mergeCell ref="A714:J714"/>
    <mergeCell ref="A715:J715"/>
    <mergeCell ref="A716:J750"/>
    <mergeCell ref="A752:G752"/>
    <mergeCell ref="H752:J752"/>
    <mergeCell ref="A754:J754"/>
    <mergeCell ref="A755:D755"/>
    <mergeCell ref="E755:J756"/>
    <mergeCell ref="A756:D756"/>
    <mergeCell ref="A710:D710"/>
    <mergeCell ref="E710:F710"/>
    <mergeCell ref="G710:H710"/>
    <mergeCell ref="I710:J710"/>
    <mergeCell ref="A711:D711"/>
    <mergeCell ref="E711:F711"/>
    <mergeCell ref="G711:H711"/>
    <mergeCell ref="I711:J711"/>
    <mergeCell ref="A712:J712"/>
    <mergeCell ref="A707:D707"/>
    <mergeCell ref="E707:F707"/>
    <mergeCell ref="G707:H707"/>
    <mergeCell ref="I707:J707"/>
    <mergeCell ref="A708:D708"/>
    <mergeCell ref="E708:F708"/>
    <mergeCell ref="G708:H708"/>
    <mergeCell ref="I708:J708"/>
    <mergeCell ref="A709:D709"/>
    <mergeCell ref="E709:F709"/>
    <mergeCell ref="G709:H709"/>
    <mergeCell ref="I709:J709"/>
    <mergeCell ref="A704:D704"/>
    <mergeCell ref="E704:F704"/>
    <mergeCell ref="G704:H704"/>
    <mergeCell ref="I704:J704"/>
    <mergeCell ref="A705:D705"/>
    <mergeCell ref="E705:F705"/>
    <mergeCell ref="G705:H705"/>
    <mergeCell ref="I705:J705"/>
    <mergeCell ref="A706:D706"/>
    <mergeCell ref="E706:F706"/>
    <mergeCell ref="G706:H706"/>
    <mergeCell ref="I706:J706"/>
    <mergeCell ref="A701:D701"/>
    <mergeCell ref="E701:F701"/>
    <mergeCell ref="G701:H701"/>
    <mergeCell ref="I701:J701"/>
    <mergeCell ref="A702:D702"/>
    <mergeCell ref="E702:F702"/>
    <mergeCell ref="G702:H702"/>
    <mergeCell ref="I702:J702"/>
    <mergeCell ref="A703:D703"/>
    <mergeCell ref="E703:F703"/>
    <mergeCell ref="G703:H703"/>
    <mergeCell ref="I703:J703"/>
    <mergeCell ref="A694:G694"/>
    <mergeCell ref="H694:J694"/>
    <mergeCell ref="A696:J696"/>
    <mergeCell ref="A697:D697"/>
    <mergeCell ref="E697:J698"/>
    <mergeCell ref="A698:D698"/>
    <mergeCell ref="A699:D699"/>
    <mergeCell ref="E699:J699"/>
    <mergeCell ref="E700:F700"/>
    <mergeCell ref="G700:H700"/>
    <mergeCell ref="I700:J700"/>
    <mergeCell ref="A653:D653"/>
    <mergeCell ref="E653:F653"/>
    <mergeCell ref="G653:H653"/>
    <mergeCell ref="I653:J653"/>
    <mergeCell ref="A654:J654"/>
    <mergeCell ref="A655:J655"/>
    <mergeCell ref="A656:J656"/>
    <mergeCell ref="A657:J657"/>
    <mergeCell ref="A658:J692"/>
    <mergeCell ref="A650:D650"/>
    <mergeCell ref="E650:F650"/>
    <mergeCell ref="G650:H650"/>
    <mergeCell ref="I650:J650"/>
    <mergeCell ref="A651:D651"/>
    <mergeCell ref="E651:F651"/>
    <mergeCell ref="G651:H651"/>
    <mergeCell ref="I651:J651"/>
    <mergeCell ref="A652:D652"/>
    <mergeCell ref="E652:F652"/>
    <mergeCell ref="G652:H652"/>
    <mergeCell ref="I652:J652"/>
    <mergeCell ref="A647:D647"/>
    <mergeCell ref="E647:F647"/>
    <mergeCell ref="G647:H647"/>
    <mergeCell ref="I647:J647"/>
    <mergeCell ref="A648:D648"/>
    <mergeCell ref="E648:F648"/>
    <mergeCell ref="G648:H648"/>
    <mergeCell ref="I648:J648"/>
    <mergeCell ref="A649:D649"/>
    <mergeCell ref="E649:F649"/>
    <mergeCell ref="G649:H649"/>
    <mergeCell ref="I649:J649"/>
    <mergeCell ref="A644:D644"/>
    <mergeCell ref="E644:F644"/>
    <mergeCell ref="G644:H644"/>
    <mergeCell ref="I644:J644"/>
    <mergeCell ref="A645:D645"/>
    <mergeCell ref="E645:F645"/>
    <mergeCell ref="G645:H645"/>
    <mergeCell ref="I645:J645"/>
    <mergeCell ref="A646:D646"/>
    <mergeCell ref="E646:F646"/>
    <mergeCell ref="G646:H646"/>
    <mergeCell ref="I646:J646"/>
    <mergeCell ref="A641:D641"/>
    <mergeCell ref="E641:J641"/>
    <mergeCell ref="E642:F642"/>
    <mergeCell ref="G642:H642"/>
    <mergeCell ref="I642:J642"/>
    <mergeCell ref="A643:D643"/>
    <mergeCell ref="E643:F643"/>
    <mergeCell ref="G643:H643"/>
    <mergeCell ref="I643:J643"/>
    <mergeCell ref="A597:J597"/>
    <mergeCell ref="A598:J598"/>
    <mergeCell ref="A599:J599"/>
    <mergeCell ref="A600:J634"/>
    <mergeCell ref="A636:G636"/>
    <mergeCell ref="H636:J636"/>
    <mergeCell ref="A638:J638"/>
    <mergeCell ref="A639:D639"/>
    <mergeCell ref="E639:J640"/>
    <mergeCell ref="A640:D640"/>
    <mergeCell ref="A594:D594"/>
    <mergeCell ref="E594:F594"/>
    <mergeCell ref="G594:H594"/>
    <mergeCell ref="I594:J594"/>
    <mergeCell ref="A595:D595"/>
    <mergeCell ref="E595:F595"/>
    <mergeCell ref="G595:H595"/>
    <mergeCell ref="I595:J595"/>
    <mergeCell ref="A596:J596"/>
    <mergeCell ref="A591:D591"/>
    <mergeCell ref="E591:F591"/>
    <mergeCell ref="G591:H591"/>
    <mergeCell ref="I591:J591"/>
    <mergeCell ref="A592:D592"/>
    <mergeCell ref="E592:F592"/>
    <mergeCell ref="G592:H592"/>
    <mergeCell ref="I592:J592"/>
    <mergeCell ref="A593:D593"/>
    <mergeCell ref="E593:F593"/>
    <mergeCell ref="G593:H593"/>
    <mergeCell ref="I593:J593"/>
    <mergeCell ref="A588:D588"/>
    <mergeCell ref="E588:F588"/>
    <mergeCell ref="G588:H588"/>
    <mergeCell ref="I588:J588"/>
    <mergeCell ref="A589:D589"/>
    <mergeCell ref="E589:F589"/>
    <mergeCell ref="G589:H589"/>
    <mergeCell ref="I589:J589"/>
    <mergeCell ref="A590:D590"/>
    <mergeCell ref="E590:F590"/>
    <mergeCell ref="G590:H590"/>
    <mergeCell ref="I590:J590"/>
    <mergeCell ref="A587:D587"/>
    <mergeCell ref="E587:F587"/>
    <mergeCell ref="G587:H587"/>
    <mergeCell ref="I587:J587"/>
    <mergeCell ref="A578:G578"/>
    <mergeCell ref="H578:J578"/>
    <mergeCell ref="A585:D585"/>
    <mergeCell ref="E585:F585"/>
    <mergeCell ref="G585:H585"/>
    <mergeCell ref="I585:J585"/>
    <mergeCell ref="A580:J580"/>
    <mergeCell ref="A581:D581"/>
    <mergeCell ref="E581:J582"/>
    <mergeCell ref="A582:D582"/>
    <mergeCell ref="A583:D583"/>
    <mergeCell ref="E583:J583"/>
    <mergeCell ref="A538:J538"/>
    <mergeCell ref="A539:J539"/>
    <mergeCell ref="A540:J540"/>
    <mergeCell ref="A541:J541"/>
    <mergeCell ref="A542:J576"/>
    <mergeCell ref="A586:D586"/>
    <mergeCell ref="E586:F586"/>
    <mergeCell ref="G586:H586"/>
    <mergeCell ref="I586:J586"/>
    <mergeCell ref="E584:F584"/>
    <mergeCell ref="G584:H584"/>
    <mergeCell ref="I584:J584"/>
    <mergeCell ref="A520:G520"/>
    <mergeCell ref="H520:J520"/>
    <mergeCell ref="A522:J522"/>
    <mergeCell ref="A523:D523"/>
    <mergeCell ref="E523:J524"/>
    <mergeCell ref="A524:D524"/>
    <mergeCell ref="I528:J528"/>
    <mergeCell ref="A529:D529"/>
    <mergeCell ref="E529:F529"/>
    <mergeCell ref="G529:H529"/>
    <mergeCell ref="I529:J529"/>
    <mergeCell ref="A525:D525"/>
    <mergeCell ref="E525:J525"/>
    <mergeCell ref="E526:F526"/>
    <mergeCell ref="G526:H526"/>
    <mergeCell ref="I526:J526"/>
    <mergeCell ref="A527:D527"/>
    <mergeCell ref="E527:F527"/>
    <mergeCell ref="G527:H527"/>
    <mergeCell ref="I527:J527"/>
    <mergeCell ref="A528:D528"/>
    <mergeCell ref="E528:F528"/>
    <mergeCell ref="G528:H528"/>
    <mergeCell ref="A479:D479"/>
    <mergeCell ref="E479:F479"/>
    <mergeCell ref="G479:H479"/>
    <mergeCell ref="I479:J479"/>
    <mergeCell ref="A480:J480"/>
    <mergeCell ref="A481:J481"/>
    <mergeCell ref="A482:J482"/>
    <mergeCell ref="A483:J483"/>
    <mergeCell ref="A484:J518"/>
    <mergeCell ref="A476:D476"/>
    <mergeCell ref="E476:F476"/>
    <mergeCell ref="G476:H476"/>
    <mergeCell ref="I476:J476"/>
    <mergeCell ref="A477:D477"/>
    <mergeCell ref="E477:F477"/>
    <mergeCell ref="G477:H477"/>
    <mergeCell ref="I477:J477"/>
    <mergeCell ref="A478:D478"/>
    <mergeCell ref="E478:F478"/>
    <mergeCell ref="G478:H478"/>
    <mergeCell ref="I478:J478"/>
    <mergeCell ref="E473:F473"/>
    <mergeCell ref="G473:H473"/>
    <mergeCell ref="I473:J473"/>
    <mergeCell ref="A474:D474"/>
    <mergeCell ref="E474:F474"/>
    <mergeCell ref="G474:H474"/>
    <mergeCell ref="I474:J474"/>
    <mergeCell ref="A475:D475"/>
    <mergeCell ref="E475:F475"/>
    <mergeCell ref="G475:H475"/>
    <mergeCell ref="I475:J475"/>
    <mergeCell ref="A473:D473"/>
    <mergeCell ref="E469:F469"/>
    <mergeCell ref="G469:H469"/>
    <mergeCell ref="I469:J469"/>
    <mergeCell ref="A467:D467"/>
    <mergeCell ref="E467:J467"/>
    <mergeCell ref="E468:F468"/>
    <mergeCell ref="G468:H468"/>
    <mergeCell ref="I468:J468"/>
    <mergeCell ref="A469:D469"/>
    <mergeCell ref="A423:J423"/>
    <mergeCell ref="A424:J424"/>
    <mergeCell ref="A425:J425"/>
    <mergeCell ref="A426:J460"/>
    <mergeCell ref="A462:G462"/>
    <mergeCell ref="H462:J462"/>
    <mergeCell ref="A464:J464"/>
    <mergeCell ref="A465:D465"/>
    <mergeCell ref="E465:J466"/>
    <mergeCell ref="A466:D466"/>
    <mergeCell ref="A420:D420"/>
    <mergeCell ref="E420:F420"/>
    <mergeCell ref="G420:H420"/>
    <mergeCell ref="I420:J420"/>
    <mergeCell ref="A421:D421"/>
    <mergeCell ref="E421:F421"/>
    <mergeCell ref="G421:H421"/>
    <mergeCell ref="I421:J421"/>
    <mergeCell ref="A422:J422"/>
    <mergeCell ref="A417:D417"/>
    <mergeCell ref="E417:F417"/>
    <mergeCell ref="G417:H417"/>
    <mergeCell ref="I417:J417"/>
    <mergeCell ref="A418:D418"/>
    <mergeCell ref="E418:F418"/>
    <mergeCell ref="G418:H418"/>
    <mergeCell ref="I418:J418"/>
    <mergeCell ref="A419:D419"/>
    <mergeCell ref="E419:F419"/>
    <mergeCell ref="G419:H419"/>
    <mergeCell ref="I419:J419"/>
    <mergeCell ref="A414:D414"/>
    <mergeCell ref="E414:F414"/>
    <mergeCell ref="G414:H414"/>
    <mergeCell ref="I414:J414"/>
    <mergeCell ref="A415:D415"/>
    <mergeCell ref="E415:F415"/>
    <mergeCell ref="G415:H415"/>
    <mergeCell ref="I415:J415"/>
    <mergeCell ref="A416:D416"/>
    <mergeCell ref="E416:F416"/>
    <mergeCell ref="G416:H416"/>
    <mergeCell ref="I416:J416"/>
    <mergeCell ref="A411:D411"/>
    <mergeCell ref="E411:F411"/>
    <mergeCell ref="G411:H411"/>
    <mergeCell ref="I411:J411"/>
    <mergeCell ref="A412:D412"/>
    <mergeCell ref="E412:F412"/>
    <mergeCell ref="G412:H412"/>
    <mergeCell ref="I412:J412"/>
    <mergeCell ref="A413:D413"/>
    <mergeCell ref="E413:F413"/>
    <mergeCell ref="G413:H413"/>
    <mergeCell ref="I413:J413"/>
    <mergeCell ref="A404:G404"/>
    <mergeCell ref="H404:J404"/>
    <mergeCell ref="A406:J406"/>
    <mergeCell ref="A407:D407"/>
    <mergeCell ref="E407:J408"/>
    <mergeCell ref="A408:D408"/>
    <mergeCell ref="A409:D409"/>
    <mergeCell ref="E409:J409"/>
    <mergeCell ref="E410:F410"/>
    <mergeCell ref="G410:H410"/>
    <mergeCell ref="I410:J410"/>
    <mergeCell ref="A363:D363"/>
    <mergeCell ref="E363:F363"/>
    <mergeCell ref="G363:H363"/>
    <mergeCell ref="I363:J363"/>
    <mergeCell ref="A364:J364"/>
    <mergeCell ref="A365:J365"/>
    <mergeCell ref="A366:J366"/>
    <mergeCell ref="A367:J367"/>
    <mergeCell ref="A368:J402"/>
    <mergeCell ref="A360:D360"/>
    <mergeCell ref="E360:F360"/>
    <mergeCell ref="G360:H360"/>
    <mergeCell ref="I360:J360"/>
    <mergeCell ref="A361:D361"/>
    <mergeCell ref="E361:F361"/>
    <mergeCell ref="G361:H361"/>
    <mergeCell ref="I361:J361"/>
    <mergeCell ref="A362:D362"/>
    <mergeCell ref="E362:F362"/>
    <mergeCell ref="G362:H362"/>
    <mergeCell ref="I362:J362"/>
    <mergeCell ref="A357:D357"/>
    <mergeCell ref="E357:F357"/>
    <mergeCell ref="G357:H357"/>
    <mergeCell ref="I357:J357"/>
    <mergeCell ref="A358:D358"/>
    <mergeCell ref="E358:F358"/>
    <mergeCell ref="G358:H358"/>
    <mergeCell ref="I358:J358"/>
    <mergeCell ref="A359:D359"/>
    <mergeCell ref="E359:F359"/>
    <mergeCell ref="G359:H359"/>
    <mergeCell ref="I359:J359"/>
    <mergeCell ref="A354:D354"/>
    <mergeCell ref="E354:F354"/>
    <mergeCell ref="G354:H354"/>
    <mergeCell ref="I354:J354"/>
    <mergeCell ref="A355:D355"/>
    <mergeCell ref="E355:F355"/>
    <mergeCell ref="G355:H355"/>
    <mergeCell ref="I355:J355"/>
    <mergeCell ref="A356:D356"/>
    <mergeCell ref="E356:F356"/>
    <mergeCell ref="G356:H356"/>
    <mergeCell ref="I356:J356"/>
    <mergeCell ref="A351:D351"/>
    <mergeCell ref="E351:J351"/>
    <mergeCell ref="E352:F352"/>
    <mergeCell ref="G352:H352"/>
    <mergeCell ref="I352:J352"/>
    <mergeCell ref="A353:D353"/>
    <mergeCell ref="E353:F353"/>
    <mergeCell ref="G353:H353"/>
    <mergeCell ref="I353:J353"/>
    <mergeCell ref="A306:J306"/>
    <mergeCell ref="A307:J307"/>
    <mergeCell ref="A308:J308"/>
    <mergeCell ref="A309:J309"/>
    <mergeCell ref="A310:J344"/>
    <mergeCell ref="A346:G346"/>
    <mergeCell ref="H346:J346"/>
    <mergeCell ref="A348:J348"/>
    <mergeCell ref="A349:D349"/>
    <mergeCell ref="E349:J350"/>
    <mergeCell ref="A350:D350"/>
    <mergeCell ref="A303:D303"/>
    <mergeCell ref="E303:F303"/>
    <mergeCell ref="G303:H303"/>
    <mergeCell ref="I303:J303"/>
    <mergeCell ref="A304:D304"/>
    <mergeCell ref="E304:F304"/>
    <mergeCell ref="G304:H304"/>
    <mergeCell ref="I304:J304"/>
    <mergeCell ref="A305:D305"/>
    <mergeCell ref="E305:F305"/>
    <mergeCell ref="G305:H305"/>
    <mergeCell ref="I305:J305"/>
    <mergeCell ref="A300:D300"/>
    <mergeCell ref="E300:F300"/>
    <mergeCell ref="G300:H300"/>
    <mergeCell ref="I300:J300"/>
    <mergeCell ref="A301:D301"/>
    <mergeCell ref="E301:F301"/>
    <mergeCell ref="G301:H301"/>
    <mergeCell ref="I301:J301"/>
    <mergeCell ref="A302:D302"/>
    <mergeCell ref="E302:F302"/>
    <mergeCell ref="G302:H302"/>
    <mergeCell ref="I302:J302"/>
    <mergeCell ref="A297:D297"/>
    <mergeCell ref="E297:F297"/>
    <mergeCell ref="G297:H297"/>
    <mergeCell ref="I297:J297"/>
    <mergeCell ref="A298:D298"/>
    <mergeCell ref="E298:F298"/>
    <mergeCell ref="G298:H298"/>
    <mergeCell ref="I298:J298"/>
    <mergeCell ref="A299:D299"/>
    <mergeCell ref="E299:F299"/>
    <mergeCell ref="G299:H299"/>
    <mergeCell ref="I299:J299"/>
    <mergeCell ref="A295:D295"/>
    <mergeCell ref="E295:F295"/>
    <mergeCell ref="G295:H295"/>
    <mergeCell ref="I295:J295"/>
    <mergeCell ref="A293:D293"/>
    <mergeCell ref="E293:J293"/>
    <mergeCell ref="A296:D296"/>
    <mergeCell ref="E296:F296"/>
    <mergeCell ref="G296:H296"/>
    <mergeCell ref="I296:J296"/>
    <mergeCell ref="A191:D191"/>
    <mergeCell ref="E191:F191"/>
    <mergeCell ref="G191:H191"/>
    <mergeCell ref="E294:F294"/>
    <mergeCell ref="G294:H294"/>
    <mergeCell ref="I294:J294"/>
    <mergeCell ref="E239:F239"/>
    <mergeCell ref="G239:H239"/>
    <mergeCell ref="I239:J239"/>
    <mergeCell ref="G243:H243"/>
    <mergeCell ref="I243:J243"/>
    <mergeCell ref="A240:D240"/>
    <mergeCell ref="E240:F240"/>
    <mergeCell ref="A241:D241"/>
    <mergeCell ref="E241:F241"/>
    <mergeCell ref="G241:H241"/>
    <mergeCell ref="I241:J241"/>
    <mergeCell ref="A242:D242"/>
    <mergeCell ref="E242:F242"/>
    <mergeCell ref="A243:D243"/>
    <mergeCell ref="E243:F243"/>
    <mergeCell ref="E247:F247"/>
    <mergeCell ref="G247:H247"/>
    <mergeCell ref="I247:J247"/>
    <mergeCell ref="A197:J197"/>
    <mergeCell ref="A192:D192"/>
    <mergeCell ref="E192:F192"/>
    <mergeCell ref="G192:H192"/>
    <mergeCell ref="I192:J192"/>
    <mergeCell ref="E193:F193"/>
    <mergeCell ref="G193:H193"/>
    <mergeCell ref="I193:J193"/>
    <mergeCell ref="A194:D194"/>
    <mergeCell ref="E194:F194"/>
    <mergeCell ref="I194:J194"/>
    <mergeCell ref="A245:D245"/>
    <mergeCell ref="A235:D235"/>
    <mergeCell ref="A234:D234"/>
    <mergeCell ref="A246:D246"/>
    <mergeCell ref="A290:J290"/>
    <mergeCell ref="A291:D291"/>
    <mergeCell ref="E291:J292"/>
    <mergeCell ref="A292:D292"/>
    <mergeCell ref="G240:H240"/>
    <mergeCell ref="I240:J240"/>
    <mergeCell ref="A239:D239"/>
    <mergeCell ref="E245:F245"/>
    <mergeCell ref="G245:H245"/>
    <mergeCell ref="A250:J250"/>
    <mergeCell ref="G242:H242"/>
    <mergeCell ref="I242:J242"/>
    <mergeCell ref="A244:D244"/>
    <mergeCell ref="E244:F244"/>
    <mergeCell ref="G244:H244"/>
    <mergeCell ref="A198:J198"/>
    <mergeCell ref="A230:G230"/>
    <mergeCell ref="H230:J230"/>
    <mergeCell ref="A232:J232"/>
    <mergeCell ref="A233:D233"/>
    <mergeCell ref="E233:J234"/>
    <mergeCell ref="E235:J235"/>
    <mergeCell ref="A238:D238"/>
    <mergeCell ref="E238:F238"/>
    <mergeCell ref="A47:J56"/>
    <mergeCell ref="A129:D129"/>
    <mergeCell ref="E185:F185"/>
    <mergeCell ref="G185:H185"/>
    <mergeCell ref="E183:F183"/>
    <mergeCell ref="A251:J251"/>
    <mergeCell ref="A252:J285"/>
    <mergeCell ref="A288:G288"/>
    <mergeCell ref="H288:J288"/>
    <mergeCell ref="A195:J195"/>
    <mergeCell ref="A196:J196"/>
    <mergeCell ref="I244:J244"/>
    <mergeCell ref="A248:J248"/>
    <mergeCell ref="A249:J249"/>
    <mergeCell ref="I245:J245"/>
    <mergeCell ref="A190:D190"/>
    <mergeCell ref="E190:F190"/>
    <mergeCell ref="G190:H190"/>
    <mergeCell ref="I190:J190"/>
    <mergeCell ref="E188:F188"/>
    <mergeCell ref="E246:F246"/>
    <mergeCell ref="G246:H246"/>
    <mergeCell ref="I246:J246"/>
    <mergeCell ref="A247:D247"/>
    <mergeCell ref="A57:K58"/>
    <mergeCell ref="E180:J181"/>
    <mergeCell ref="A107:K107"/>
    <mergeCell ref="I132:J132"/>
    <mergeCell ref="G131:H131"/>
    <mergeCell ref="I137:J137"/>
    <mergeCell ref="G135:H135"/>
    <mergeCell ref="G133:H133"/>
    <mergeCell ref="I135:J135"/>
    <mergeCell ref="I134:J134"/>
    <mergeCell ref="E130:J130"/>
    <mergeCell ref="A128:D128"/>
    <mergeCell ref="A130:D130"/>
    <mergeCell ref="A133:D133"/>
    <mergeCell ref="A135:D135"/>
    <mergeCell ref="E141:F141"/>
    <mergeCell ref="G141:H141"/>
    <mergeCell ref="E128:J129"/>
    <mergeCell ref="B77:I79"/>
    <mergeCell ref="B81:I84"/>
    <mergeCell ref="B86:I88"/>
    <mergeCell ref="B90:I91"/>
    <mergeCell ref="G139:H139"/>
    <mergeCell ref="I138:J138"/>
    <mergeCell ref="A3:J7"/>
    <mergeCell ref="A138:D138"/>
    <mergeCell ref="A137:D137"/>
    <mergeCell ref="A127:J127"/>
    <mergeCell ref="E131:F131"/>
    <mergeCell ref="E132:F132"/>
    <mergeCell ref="I131:J131"/>
    <mergeCell ref="A136:D136"/>
    <mergeCell ref="A134:D134"/>
    <mergeCell ref="E136:F136"/>
    <mergeCell ref="G134:H134"/>
    <mergeCell ref="I133:J133"/>
    <mergeCell ref="A132:D132"/>
    <mergeCell ref="E133:F133"/>
    <mergeCell ref="E135:F135"/>
    <mergeCell ref="E134:F134"/>
    <mergeCell ref="E137:F137"/>
    <mergeCell ref="A13:J13"/>
    <mergeCell ref="C14:E14"/>
    <mergeCell ref="A9:J11"/>
    <mergeCell ref="B67:I69"/>
    <mergeCell ref="B71:I75"/>
    <mergeCell ref="G138:H138"/>
    <mergeCell ref="E138:F138"/>
    <mergeCell ref="G184:H184"/>
    <mergeCell ref="I184:J184"/>
    <mergeCell ref="A143:J143"/>
    <mergeCell ref="A144:J144"/>
    <mergeCell ref="A145:J145"/>
    <mergeCell ref="A146:J146"/>
    <mergeCell ref="A181:D181"/>
    <mergeCell ref="A182:D182"/>
    <mergeCell ref="G183:H183"/>
    <mergeCell ref="I183:J183"/>
    <mergeCell ref="A471:D471"/>
    <mergeCell ref="E471:F471"/>
    <mergeCell ref="G471:H471"/>
    <mergeCell ref="I471:J471"/>
    <mergeCell ref="A472:D472"/>
    <mergeCell ref="E472:F472"/>
    <mergeCell ref="G472:H472"/>
    <mergeCell ref="I472:J472"/>
    <mergeCell ref="E182:J182"/>
    <mergeCell ref="I191:J191"/>
    <mergeCell ref="G194:H194"/>
    <mergeCell ref="E236:F236"/>
    <mergeCell ref="G236:H236"/>
    <mergeCell ref="I236:J236"/>
    <mergeCell ref="A237:D237"/>
    <mergeCell ref="E237:F237"/>
    <mergeCell ref="G237:H237"/>
    <mergeCell ref="I237:J237"/>
    <mergeCell ref="G238:H238"/>
    <mergeCell ref="A193:D193"/>
    <mergeCell ref="I238:J238"/>
    <mergeCell ref="A199:J226"/>
    <mergeCell ref="A184:D184"/>
    <mergeCell ref="E184:F184"/>
    <mergeCell ref="A470:D470"/>
    <mergeCell ref="E470:F470"/>
    <mergeCell ref="G470:H470"/>
    <mergeCell ref="I470:J470"/>
    <mergeCell ref="A180:D180"/>
    <mergeCell ref="A179:J179"/>
    <mergeCell ref="A147:J174"/>
    <mergeCell ref="I140:J140"/>
    <mergeCell ref="G142:H142"/>
    <mergeCell ref="A142:D142"/>
    <mergeCell ref="E142:F142"/>
    <mergeCell ref="A185:D185"/>
    <mergeCell ref="I188:J188"/>
    <mergeCell ref="I185:J185"/>
    <mergeCell ref="A186:D186"/>
    <mergeCell ref="A187:D187"/>
    <mergeCell ref="I186:J186"/>
    <mergeCell ref="G186:H186"/>
    <mergeCell ref="A188:D188"/>
    <mergeCell ref="A189:D189"/>
    <mergeCell ref="E189:F189"/>
    <mergeCell ref="E186:F186"/>
    <mergeCell ref="E187:F187"/>
    <mergeCell ref="G187:H187"/>
    <mergeCell ref="G189:H189"/>
    <mergeCell ref="E140:F140"/>
    <mergeCell ref="I142:J142"/>
    <mergeCell ref="A1:G1"/>
    <mergeCell ref="H1:J1"/>
    <mergeCell ref="A65:G65"/>
    <mergeCell ref="H65:J65"/>
    <mergeCell ref="A125:G125"/>
    <mergeCell ref="H125:J125"/>
    <mergeCell ref="A177:G177"/>
    <mergeCell ref="H177:J177"/>
    <mergeCell ref="I139:J139"/>
    <mergeCell ref="G137:H137"/>
    <mergeCell ref="I141:J141"/>
    <mergeCell ref="E139:F139"/>
    <mergeCell ref="G132:H132"/>
    <mergeCell ref="I64:J64"/>
    <mergeCell ref="H14:J14"/>
    <mergeCell ref="C20:E20"/>
    <mergeCell ref="A94:J101"/>
    <mergeCell ref="C41:E41"/>
    <mergeCell ref="I187:J187"/>
    <mergeCell ref="I189:J189"/>
    <mergeCell ref="G188:H188"/>
    <mergeCell ref="H41:J41"/>
    <mergeCell ref="H20:J20"/>
    <mergeCell ref="A139:D139"/>
    <mergeCell ref="A140:D140"/>
    <mergeCell ref="G140:H140"/>
    <mergeCell ref="A141:D141"/>
    <mergeCell ref="A533:D533"/>
    <mergeCell ref="E533:F533"/>
    <mergeCell ref="G533:H533"/>
    <mergeCell ref="A530:D530"/>
    <mergeCell ref="E530:F530"/>
    <mergeCell ref="G530:H530"/>
    <mergeCell ref="I530:J530"/>
    <mergeCell ref="A531:D531"/>
    <mergeCell ref="E531:F531"/>
    <mergeCell ref="G531:H531"/>
    <mergeCell ref="I531:J531"/>
    <mergeCell ref="A532:D532"/>
    <mergeCell ref="E532:F532"/>
    <mergeCell ref="G532:H532"/>
    <mergeCell ref="I532:J532"/>
    <mergeCell ref="G136:H136"/>
    <mergeCell ref="I136:J136"/>
    <mergeCell ref="A103:J105"/>
    <mergeCell ref="A536:D536"/>
    <mergeCell ref="E536:F536"/>
    <mergeCell ref="G536:H536"/>
    <mergeCell ref="I536:J536"/>
    <mergeCell ref="A537:D537"/>
    <mergeCell ref="E537:F537"/>
    <mergeCell ref="G537:H537"/>
    <mergeCell ref="I537:J537"/>
    <mergeCell ref="I533:J533"/>
    <mergeCell ref="A534:D534"/>
    <mergeCell ref="E534:F534"/>
    <mergeCell ref="G534:H534"/>
    <mergeCell ref="I534:J534"/>
    <mergeCell ref="A535:D535"/>
    <mergeCell ref="E535:F535"/>
    <mergeCell ref="G535:H535"/>
    <mergeCell ref="I535:J535"/>
  </mergeCells>
  <phoneticPr fontId="2" type="noConversion"/>
  <dataValidations xWindow="807" yWindow="385" count="14">
    <dataValidation allowBlank="1" showInputMessage="1" showErrorMessage="1" error="Entries not permitted in this cell." prompt="Leave cell blank." sqref="E138:J138 E190:J190 E243:J243 E301:J301 E359:J359 E417:J417 E475:J475 E533:J533 E591:J591 E649:J649 E707:J707 E765:J765 E823:J823 E881:J881 E939:J939" xr:uid="{00000000-0002-0000-0500-000000000000}"/>
    <dataValidation type="whole" allowBlank="1" showInputMessage="1" showErrorMessage="1" error="Must enter amount in whole dollars." sqref="E940:F942 E132:J137 E139:F141 E191:F193 E184:J189 E244:F246 E237:J242 E302:F304 E353:J358 E360:F362 E295:J300 E418:F420 E411:J416 E476:F478 E469:J474 E534:F536 E527:J532 E592:F594 E585:J590 E650:F652 E643:J648 E708:F710 E701:J706 E766:F768 E817:J822 E824:F826 E875:J880 E882:F884 E759:J764 E933:J938" xr:uid="{00000000-0002-0000-0500-000001000000}">
      <formula1>0</formula1>
      <formula2>50000000</formula2>
    </dataValidation>
    <dataValidation type="whole" allowBlank="1" showInputMessage="1" showErrorMessage="1" error="Leave blank or enter amount in whole dollars." sqref="G139:J141 G191:J193 G244:J246 G302:J304 G360:J362 G418:J420 G476:J478 G534:J536 G592:J594 G650:J652 G708:J710 G766:J768 G824:J826 G882:J884 G940:J942" xr:uid="{00000000-0002-0000-0500-000002000000}">
      <formula1>0</formula1>
      <formula2>50000000</formula2>
    </dataValidation>
    <dataValidation type="textLength" allowBlank="1" showInputMessage="1" showErrorMessage="1" prompt="Leave Blank or Describe Other Expenditure. " sqref="A139:D141 A940:D942 A244:D246 A302:D304 A360:D362 A418:D420 A476:D478 A534:D536 A592:D594 A650:D652 A708:D710 A766:D768 A824:D826 A882:D884 A191:D193" xr:uid="{00000000-0002-0000-0500-000003000000}">
      <formula1>1</formula1>
      <formula2>35</formula2>
    </dataValidation>
    <dataValidation allowBlank="1" showInputMessage="1" showErrorMessage="1" error="Total is automatically calculated." prompt=" Amount Automatically Calculated. " sqref="E142:J142 E194:J194 E247:J247 E305:J305 E363:J363 E421:J421 E479:J479 E537:J537 E595:J595 E653:J653 E711:J711 E769:J769 E827:J827 E885:J885 E943:J943" xr:uid="{00000000-0002-0000-0500-000004000000}"/>
    <dataValidation type="list" showInputMessage="1" showErrorMessage="1" prompt="Please select from drop down list." sqref="E130:J130" xr:uid="{00000000-0002-0000-0500-000005000000}">
      <formula1>Expenditures</formula1>
    </dataValidation>
    <dataValidation type="list" showInputMessage="1" showErrorMessage="1" prompt="Please select from the drop down list." sqref="E182:J182 E235:J235 E351:J351 E409:J409 E467:J467 E293:J293 E583:J583 E641:J641 E699:J699 E757:J757 E815:J815 E873:J873 E931:J931 E525:J525" xr:uid="{00000000-0002-0000-0500-000006000000}">
      <formula1>Expenditures</formula1>
    </dataValidation>
    <dataValidation showInputMessage="1" showErrorMessage="1" promptTitle="Instructions" prompt="Click in the box to enter or edit your response._x000a__x000a_Press ALT and Enter to start a new paragraph" sqref="K151" xr:uid="{00000000-0002-0000-0500-000007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_x000a_" sqref="A147:J174" xr:uid="{B7E938C5-A0FE-411C-BEDB-0E9074B6A3DC}"/>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 sqref="A227:J228" xr:uid="{00000000-0002-0000-0500-000009000000}"/>
    <dataValidation allowBlank="1" showInputMessage="1" showErrorMessage="1" sqref="E871:J872 E407:J408 E465:J466 E523:J524 E581:J582 E639:J640 E697:J698 E755:J756 E813:J814 E929:J930" xr:uid="{00000000-0002-0000-0500-00000A000000}"/>
    <dataValidation allowBlank="1" showInputMessage="1" showErrorMessage="1" promptTitle="INSTRUCTIONS:" prompt="1)1)  Double click inside box to start typing._x000a_2)  DO NOT EXCEED the space provided as it will not appear when page is printed._x000a_3)  Press ALT and ENTER to start a new paragraph._x000a_4)  REVIEW work for accuracy." sqref="A774:J808" xr:uid="{4E38C65D-26E2-480A-BEA9-99401A027E53}"/>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890:J924 A832:J866 A199:J226 A252:J285 A310:J344 A368:J402 A426:J460 A484:J518 A542:J576 A600:J634 A658:J692 A948:J982" xr:uid="{00000000-0002-0000-0500-00000C000000}"/>
    <dataValidation allowBlank="1" showInputMessage="1" showErrorMessage="1" promptTitle="INSTRUCTIONS&quot;" prompt="1)  Double click inside box to start typing._x000a_2)  DO NOT EXCEED the space provided as it will not appear when page is printed._x000a_3)  Press ALT and ENTER to start a new paragraph._x000a_4)  REVIEW work for accuracy." sqref="A716:J750" xr:uid="{C5C3648A-E849-43CC-BC7A-6F6FA60C5035}"/>
  </dataValidations>
  <printOptions horizontalCentered="1"/>
  <pageMargins left="0.5" right="0.5" top="0.75" bottom="0.5" header="0.75" footer="0.25"/>
  <pageSetup scale="96" firstPageNumber="4" orientation="portrait" useFirstPageNumber="1" r:id="rId1"/>
  <headerFooter>
    <oddFooter>&amp;L&amp;F</oddFooter>
  </headerFooter>
  <rowBreaks count="2" manualBreakCount="2">
    <brk id="62" max="16383" man="1"/>
    <brk id="12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1222"/>
  <sheetViews>
    <sheetView workbookViewId="0">
      <selection activeCell="E989" sqref="E989:J989"/>
    </sheetView>
  </sheetViews>
  <sheetFormatPr defaultRowHeight="13.2" x14ac:dyDescent="0.25"/>
  <cols>
    <col min="1" max="1" width="10.44140625" style="39" customWidth="1"/>
    <col min="2" max="5" width="9.109375" style="39"/>
    <col min="6" max="6" width="8" style="39" customWidth="1"/>
    <col min="7" max="9" width="9.109375" style="39"/>
    <col min="10" max="10" width="9" style="39" customWidth="1"/>
    <col min="11" max="19" width="9.109375" style="39"/>
  </cols>
  <sheetData>
    <row r="1" spans="1:13" ht="15.75" customHeight="1" x14ac:dyDescent="0.3">
      <c r="A1" s="355" t="s">
        <v>848</v>
      </c>
      <c r="B1" s="356"/>
      <c r="C1" s="356"/>
      <c r="D1" s="356"/>
      <c r="E1" s="356"/>
      <c r="F1" s="356"/>
      <c r="G1" s="356"/>
      <c r="H1" s="353" t="str">
        <f>'CONTACT INFORMATION'!$A$24</f>
        <v>Alameda</v>
      </c>
      <c r="I1" s="353"/>
      <c r="J1" s="354"/>
    </row>
    <row r="2" spans="1:13" ht="9" customHeight="1" x14ac:dyDescent="0.25">
      <c r="A2" s="45"/>
      <c r="B2" s="45"/>
      <c r="C2" s="45"/>
      <c r="D2" s="45"/>
      <c r="E2" s="45"/>
      <c r="F2" s="45"/>
      <c r="G2" s="45"/>
      <c r="H2" s="45"/>
      <c r="I2" s="45"/>
      <c r="J2" s="45"/>
    </row>
    <row r="3" spans="1:13" ht="12" customHeight="1" x14ac:dyDescent="0.25">
      <c r="A3" s="508" t="s">
        <v>914</v>
      </c>
      <c r="B3" s="508"/>
      <c r="C3" s="508"/>
      <c r="D3" s="508"/>
      <c r="E3" s="508"/>
      <c r="F3" s="508"/>
      <c r="G3" s="508"/>
      <c r="H3" s="508"/>
      <c r="I3" s="508"/>
      <c r="J3" s="508"/>
    </row>
    <row r="4" spans="1:13" ht="14.1" customHeight="1" x14ac:dyDescent="0.25">
      <c r="A4" s="508"/>
      <c r="B4" s="508"/>
      <c r="C4" s="508"/>
      <c r="D4" s="508"/>
      <c r="E4" s="508"/>
      <c r="F4" s="508"/>
      <c r="G4" s="508"/>
      <c r="H4" s="508"/>
      <c r="I4" s="508"/>
      <c r="J4" s="508"/>
    </row>
    <row r="5" spans="1:13" ht="14.1" customHeight="1" x14ac:dyDescent="0.25">
      <c r="A5" s="508"/>
      <c r="B5" s="508"/>
      <c r="C5" s="508"/>
      <c r="D5" s="508"/>
      <c r="E5" s="508"/>
      <c r="F5" s="508"/>
      <c r="G5" s="508"/>
      <c r="H5" s="508"/>
      <c r="I5" s="508"/>
      <c r="J5" s="508"/>
    </row>
    <row r="6" spans="1:13" ht="14.1" customHeight="1" x14ac:dyDescent="0.25">
      <c r="A6" s="508"/>
      <c r="B6" s="508"/>
      <c r="C6" s="508"/>
      <c r="D6" s="508"/>
      <c r="E6" s="508"/>
      <c r="F6" s="508"/>
      <c r="G6" s="508"/>
      <c r="H6" s="508"/>
      <c r="I6" s="508"/>
      <c r="J6" s="508"/>
      <c r="M6" s="45"/>
    </row>
    <row r="7" spans="1:13" ht="9" customHeight="1" x14ac:dyDescent="0.25">
      <c r="A7" s="508"/>
      <c r="B7" s="508"/>
      <c r="C7" s="508"/>
      <c r="D7" s="508"/>
      <c r="E7" s="508"/>
      <c r="F7" s="508"/>
      <c r="G7" s="508"/>
      <c r="H7" s="508"/>
      <c r="I7" s="508"/>
      <c r="J7" s="508"/>
      <c r="M7" s="45"/>
    </row>
    <row r="8" spans="1:13" ht="10.5" customHeight="1" x14ac:dyDescent="0.25"/>
    <row r="9" spans="1:13" ht="14.1" customHeight="1" x14ac:dyDescent="0.25">
      <c r="A9" s="241" t="s">
        <v>836</v>
      </c>
      <c r="B9" s="241"/>
      <c r="C9" s="241"/>
      <c r="D9" s="241"/>
      <c r="E9" s="241"/>
      <c r="F9" s="241"/>
      <c r="G9" s="241"/>
      <c r="H9" s="241"/>
      <c r="I9" s="241"/>
      <c r="J9" s="241"/>
    </row>
    <row r="10" spans="1:13" ht="14.1" customHeight="1" x14ac:dyDescent="0.25">
      <c r="A10" s="241"/>
      <c r="B10" s="241"/>
      <c r="C10" s="241"/>
      <c r="D10" s="241"/>
      <c r="E10" s="241"/>
      <c r="F10" s="241"/>
      <c r="G10" s="241"/>
      <c r="H10" s="241"/>
      <c r="I10" s="241"/>
      <c r="J10" s="241"/>
    </row>
    <row r="11" spans="1:13" ht="14.1" customHeight="1" x14ac:dyDescent="0.25">
      <c r="A11" s="241"/>
      <c r="B11" s="241"/>
      <c r="C11" s="241"/>
      <c r="D11" s="241"/>
      <c r="E11" s="241"/>
      <c r="F11" s="241"/>
      <c r="G11" s="241"/>
      <c r="H11" s="241"/>
      <c r="I11" s="241"/>
      <c r="J11" s="241"/>
    </row>
    <row r="12" spans="1:13" ht="12.75" customHeight="1" x14ac:dyDescent="0.25">
      <c r="A12" s="122"/>
      <c r="B12" s="122"/>
      <c r="C12" s="122"/>
      <c r="D12" s="122"/>
      <c r="E12" s="122"/>
      <c r="F12" s="122"/>
      <c r="G12" s="122"/>
      <c r="H12" s="122"/>
      <c r="I12" s="122"/>
      <c r="J12" s="122"/>
      <c r="M12" s="45"/>
    </row>
    <row r="13" spans="1:13" ht="13.8" x14ac:dyDescent="0.25">
      <c r="A13" s="516" t="s">
        <v>464</v>
      </c>
      <c r="B13" s="516"/>
      <c r="C13" s="516"/>
      <c r="D13" s="516"/>
      <c r="E13" s="516"/>
      <c r="F13" s="516"/>
      <c r="G13" s="516"/>
      <c r="H13" s="516"/>
      <c r="I13" s="516"/>
      <c r="J13" s="516"/>
    </row>
    <row r="14" spans="1:13" ht="18" customHeight="1" thickBot="1" x14ac:dyDescent="0.3">
      <c r="A14" s="47"/>
      <c r="B14" s="48" t="s">
        <v>466</v>
      </c>
      <c r="C14" s="446" t="s">
        <v>467</v>
      </c>
      <c r="D14" s="446"/>
      <c r="E14" s="446"/>
      <c r="F14" s="49"/>
      <c r="G14" s="48" t="s">
        <v>466</v>
      </c>
      <c r="H14" s="446" t="s">
        <v>467</v>
      </c>
      <c r="I14" s="446"/>
      <c r="J14" s="446"/>
    </row>
    <row r="15" spans="1:13" ht="12" customHeight="1" x14ac:dyDescent="0.25">
      <c r="A15" s="50" t="s">
        <v>465</v>
      </c>
      <c r="B15" s="51">
        <v>1</v>
      </c>
      <c r="C15" s="52" t="s">
        <v>468</v>
      </c>
      <c r="F15" s="52"/>
      <c r="G15" s="51">
        <v>5</v>
      </c>
      <c r="H15" s="52" t="s">
        <v>472</v>
      </c>
      <c r="I15" s="52"/>
      <c r="J15" s="52"/>
    </row>
    <row r="16" spans="1:13" ht="12" customHeight="1" x14ac:dyDescent="0.25">
      <c r="A16" s="52"/>
      <c r="B16" s="51">
        <v>2</v>
      </c>
      <c r="C16" s="52" t="s">
        <v>469</v>
      </c>
      <c r="F16" s="52"/>
      <c r="G16" s="51">
        <v>6</v>
      </c>
      <c r="H16" s="52" t="s">
        <v>473</v>
      </c>
      <c r="I16" s="52"/>
      <c r="J16" s="52"/>
    </row>
    <row r="17" spans="1:10" ht="12" customHeight="1" x14ac:dyDescent="0.25">
      <c r="A17" s="52"/>
      <c r="B17" s="51">
        <v>3</v>
      </c>
      <c r="C17" s="52" t="s">
        <v>470</v>
      </c>
      <c r="F17" s="52"/>
      <c r="G17" s="51">
        <v>7</v>
      </c>
      <c r="H17" s="52" t="s">
        <v>474</v>
      </c>
      <c r="I17" s="52"/>
      <c r="J17" s="52"/>
    </row>
    <row r="18" spans="1:10" ht="12" customHeight="1" x14ac:dyDescent="0.25">
      <c r="A18" s="52"/>
      <c r="B18" s="51">
        <v>4</v>
      </c>
      <c r="C18" s="52" t="s">
        <v>471</v>
      </c>
      <c r="F18" s="52"/>
      <c r="G18" s="52"/>
      <c r="H18" s="52"/>
      <c r="I18" s="52"/>
      <c r="J18" s="52"/>
    </row>
    <row r="19" spans="1:10" ht="10.5" customHeight="1" x14ac:dyDescent="0.25">
      <c r="A19" s="52"/>
      <c r="B19" s="51"/>
      <c r="C19" s="52"/>
      <c r="F19" s="52"/>
      <c r="G19" s="52"/>
      <c r="H19" s="52"/>
      <c r="I19" s="52"/>
      <c r="J19" s="52"/>
    </row>
    <row r="20" spans="1:10" ht="12" customHeight="1" thickBot="1" x14ac:dyDescent="0.3">
      <c r="A20" s="47"/>
      <c r="B20" s="48" t="s">
        <v>466</v>
      </c>
      <c r="C20" s="446" t="s">
        <v>467</v>
      </c>
      <c r="D20" s="446"/>
      <c r="E20" s="446"/>
      <c r="F20" s="53"/>
      <c r="G20" s="48" t="s">
        <v>466</v>
      </c>
      <c r="H20" s="446" t="s">
        <v>467</v>
      </c>
      <c r="I20" s="446"/>
      <c r="J20" s="446"/>
    </row>
    <row r="21" spans="1:10" ht="12" customHeight="1" x14ac:dyDescent="0.25">
      <c r="A21" s="54" t="s">
        <v>514</v>
      </c>
      <c r="B21" s="51">
        <v>8</v>
      </c>
      <c r="C21" s="52" t="s">
        <v>536</v>
      </c>
      <c r="F21" s="52"/>
      <c r="G21" s="51">
        <v>26</v>
      </c>
      <c r="H21" s="52" t="s">
        <v>839</v>
      </c>
      <c r="I21" s="52"/>
      <c r="J21" s="52"/>
    </row>
    <row r="22" spans="1:10" ht="12" customHeight="1" x14ac:dyDescent="0.25">
      <c r="A22" s="55" t="s">
        <v>515</v>
      </c>
      <c r="B22" s="51">
        <v>9</v>
      </c>
      <c r="C22" s="52" t="s">
        <v>475</v>
      </c>
      <c r="F22" s="52"/>
      <c r="G22" s="51"/>
      <c r="H22" s="52" t="s">
        <v>838</v>
      </c>
      <c r="I22" s="52"/>
      <c r="J22" s="52"/>
    </row>
    <row r="23" spans="1:10" ht="12" customHeight="1" x14ac:dyDescent="0.25">
      <c r="B23" s="51">
        <v>10</v>
      </c>
      <c r="C23" s="52" t="s">
        <v>476</v>
      </c>
      <c r="F23" s="52"/>
      <c r="G23" s="51">
        <v>27</v>
      </c>
      <c r="H23" s="52" t="s">
        <v>493</v>
      </c>
      <c r="I23" s="52"/>
      <c r="J23" s="52"/>
    </row>
    <row r="24" spans="1:10" ht="12" customHeight="1" x14ac:dyDescent="0.25">
      <c r="A24" s="52"/>
      <c r="B24" s="51">
        <v>11</v>
      </c>
      <c r="C24" s="52" t="s">
        <v>477</v>
      </c>
      <c r="F24" s="52"/>
      <c r="G24" s="51">
        <v>28</v>
      </c>
      <c r="H24" s="52" t="s">
        <v>494</v>
      </c>
      <c r="I24" s="52"/>
      <c r="J24" s="52"/>
    </row>
    <row r="25" spans="1:10" ht="12" customHeight="1" x14ac:dyDescent="0.25">
      <c r="A25" s="52"/>
      <c r="B25" s="51">
        <v>12</v>
      </c>
      <c r="C25" s="52" t="s">
        <v>478</v>
      </c>
      <c r="F25" s="52"/>
      <c r="G25" s="51">
        <v>29</v>
      </c>
      <c r="H25" s="52" t="s">
        <v>495</v>
      </c>
      <c r="I25" s="52"/>
      <c r="J25" s="52"/>
    </row>
    <row r="26" spans="1:10" ht="12" customHeight="1" x14ac:dyDescent="0.25">
      <c r="A26" s="52"/>
      <c r="B26" s="51">
        <v>13</v>
      </c>
      <c r="C26" s="52" t="s">
        <v>479</v>
      </c>
      <c r="F26" s="52"/>
      <c r="G26" s="51">
        <v>30</v>
      </c>
      <c r="H26" s="52" t="s">
        <v>496</v>
      </c>
      <c r="I26" s="52"/>
      <c r="J26" s="52"/>
    </row>
    <row r="27" spans="1:10" ht="12" customHeight="1" x14ac:dyDescent="0.25">
      <c r="A27" s="52"/>
      <c r="B27" s="51">
        <v>14</v>
      </c>
      <c r="C27" s="52" t="s">
        <v>480</v>
      </c>
      <c r="F27" s="52"/>
      <c r="G27" s="51">
        <v>31</v>
      </c>
      <c r="H27" s="52" t="s">
        <v>497</v>
      </c>
      <c r="I27" s="52"/>
      <c r="J27" s="52"/>
    </row>
    <row r="28" spans="1:10" ht="12" customHeight="1" x14ac:dyDescent="0.25">
      <c r="A28" s="52"/>
      <c r="B28" s="51">
        <v>15</v>
      </c>
      <c r="C28" s="52" t="s">
        <v>481</v>
      </c>
      <c r="F28" s="52"/>
      <c r="G28" s="51">
        <v>32</v>
      </c>
      <c r="H28" s="52" t="s">
        <v>498</v>
      </c>
      <c r="I28" s="52"/>
      <c r="J28" s="52"/>
    </row>
    <row r="29" spans="1:10" ht="12" customHeight="1" x14ac:dyDescent="0.25">
      <c r="A29" s="52"/>
      <c r="B29" s="51">
        <v>16</v>
      </c>
      <c r="C29" s="52" t="s">
        <v>482</v>
      </c>
      <c r="F29" s="52"/>
      <c r="G29" s="51">
        <v>33</v>
      </c>
      <c r="H29" s="52" t="s">
        <v>499</v>
      </c>
      <c r="I29" s="52"/>
      <c r="J29" s="52"/>
    </row>
    <row r="30" spans="1:10" ht="12" customHeight="1" x14ac:dyDescent="0.25">
      <c r="A30" s="52"/>
      <c r="B30" s="51">
        <v>17</v>
      </c>
      <c r="C30" s="52" t="s">
        <v>483</v>
      </c>
      <c r="F30" s="52"/>
      <c r="G30" s="51">
        <v>34</v>
      </c>
      <c r="H30" s="52" t="s">
        <v>326</v>
      </c>
      <c r="I30" s="52"/>
      <c r="J30" s="52"/>
    </row>
    <row r="31" spans="1:10" ht="12" customHeight="1" x14ac:dyDescent="0.25">
      <c r="A31" s="52"/>
      <c r="B31" s="51">
        <v>18</v>
      </c>
      <c r="C31" s="52" t="s">
        <v>484</v>
      </c>
      <c r="F31" s="52"/>
      <c r="G31" s="51">
        <v>35</v>
      </c>
      <c r="H31" s="52" t="s">
        <v>500</v>
      </c>
      <c r="I31" s="52"/>
      <c r="J31" s="52"/>
    </row>
    <row r="32" spans="1:10" ht="12" customHeight="1" x14ac:dyDescent="0.25">
      <c r="A32" s="52"/>
      <c r="B32" s="51">
        <v>19</v>
      </c>
      <c r="C32" s="52" t="s">
        <v>485</v>
      </c>
      <c r="F32" s="52"/>
      <c r="G32" s="51">
        <v>36</v>
      </c>
      <c r="H32" s="52" t="s">
        <v>501</v>
      </c>
      <c r="I32" s="52"/>
      <c r="J32" s="52"/>
    </row>
    <row r="33" spans="1:10" ht="12" customHeight="1" x14ac:dyDescent="0.25">
      <c r="A33" s="52"/>
      <c r="B33" s="51">
        <v>20</v>
      </c>
      <c r="C33" s="52" t="s">
        <v>486</v>
      </c>
      <c r="F33" s="52"/>
      <c r="G33" s="51">
        <v>37</v>
      </c>
      <c r="H33" s="52" t="s">
        <v>502</v>
      </c>
      <c r="I33" s="52"/>
      <c r="J33" s="52"/>
    </row>
    <row r="34" spans="1:10" ht="12" customHeight="1" x14ac:dyDescent="0.25">
      <c r="A34" s="52"/>
      <c r="B34" s="51">
        <v>21</v>
      </c>
      <c r="C34" s="52" t="s">
        <v>487</v>
      </c>
      <c r="F34" s="52"/>
      <c r="G34" s="51">
        <v>38</v>
      </c>
      <c r="H34" s="52" t="s">
        <v>503</v>
      </c>
      <c r="I34" s="52"/>
      <c r="J34" s="52"/>
    </row>
    <row r="35" spans="1:10" ht="12" customHeight="1" x14ac:dyDescent="0.25">
      <c r="A35" s="52"/>
      <c r="B35" s="51">
        <v>22</v>
      </c>
      <c r="C35" s="52" t="s">
        <v>488</v>
      </c>
      <c r="F35" s="52"/>
      <c r="G35" s="51">
        <v>39</v>
      </c>
      <c r="H35" s="52" t="s">
        <v>504</v>
      </c>
      <c r="I35" s="52"/>
      <c r="J35" s="52"/>
    </row>
    <row r="36" spans="1:10" ht="12" customHeight="1" x14ac:dyDescent="0.25">
      <c r="A36" s="52"/>
      <c r="B36" s="51">
        <v>23</v>
      </c>
      <c r="C36" s="52" t="s">
        <v>489</v>
      </c>
      <c r="F36" s="52"/>
      <c r="G36" s="51">
        <v>40</v>
      </c>
      <c r="H36" s="52" t="s">
        <v>516</v>
      </c>
      <c r="I36" s="52"/>
      <c r="J36" s="52"/>
    </row>
    <row r="37" spans="1:10" ht="12" customHeight="1" x14ac:dyDescent="0.25">
      <c r="A37" s="52"/>
      <c r="B37" s="51">
        <v>24</v>
      </c>
      <c r="C37" s="52" t="s">
        <v>490</v>
      </c>
      <c r="F37" s="52"/>
      <c r="G37" s="51">
        <v>41</v>
      </c>
      <c r="H37" s="52" t="s">
        <v>505</v>
      </c>
      <c r="I37" s="52"/>
      <c r="J37" s="52"/>
    </row>
    <row r="38" spans="1:10" ht="12" customHeight="1" x14ac:dyDescent="0.25">
      <c r="A38" s="52"/>
      <c r="B38" s="51">
        <v>25</v>
      </c>
      <c r="C38" s="52" t="s">
        <v>491</v>
      </c>
      <c r="F38" s="52"/>
      <c r="G38" s="51">
        <v>42</v>
      </c>
      <c r="H38" s="52" t="s">
        <v>506</v>
      </c>
      <c r="I38" s="52"/>
      <c r="J38" s="52"/>
    </row>
    <row r="39" spans="1:10" ht="12" customHeight="1" x14ac:dyDescent="0.25">
      <c r="A39" s="52"/>
      <c r="B39" s="51"/>
      <c r="C39" s="52"/>
      <c r="F39" s="52"/>
      <c r="G39" s="51">
        <v>43</v>
      </c>
      <c r="H39" s="52" t="s">
        <v>517</v>
      </c>
      <c r="I39" s="52"/>
      <c r="J39" s="52"/>
    </row>
    <row r="40" spans="1:10" ht="12" customHeight="1" x14ac:dyDescent="0.25">
      <c r="A40" s="52"/>
      <c r="B40" s="51"/>
      <c r="C40" s="52"/>
      <c r="F40" s="52"/>
      <c r="G40" s="51"/>
      <c r="H40" s="52"/>
      <c r="I40" s="52"/>
      <c r="J40" s="52"/>
    </row>
    <row r="41" spans="1:10" ht="12" customHeight="1" thickBot="1" x14ac:dyDescent="0.3">
      <c r="A41" s="47"/>
      <c r="B41" s="48" t="s">
        <v>466</v>
      </c>
      <c r="C41" s="446" t="s">
        <v>467</v>
      </c>
      <c r="D41" s="446"/>
      <c r="E41" s="446"/>
      <c r="F41" s="53"/>
      <c r="G41" s="48" t="s">
        <v>466</v>
      </c>
      <c r="H41" s="446" t="s">
        <v>467</v>
      </c>
      <c r="I41" s="446"/>
      <c r="J41" s="446"/>
    </row>
    <row r="42" spans="1:10" ht="12" customHeight="1" x14ac:dyDescent="0.25">
      <c r="A42" s="55" t="s">
        <v>518</v>
      </c>
      <c r="B42" s="51">
        <v>44</v>
      </c>
      <c r="C42" s="52" t="s">
        <v>507</v>
      </c>
      <c r="F42" s="52"/>
      <c r="G42" s="51">
        <v>48</v>
      </c>
      <c r="H42" s="52" t="s">
        <v>510</v>
      </c>
      <c r="I42" s="52"/>
      <c r="J42" s="52"/>
    </row>
    <row r="43" spans="1:10" ht="12" customHeight="1" x14ac:dyDescent="0.25">
      <c r="A43" s="55" t="s">
        <v>519</v>
      </c>
      <c r="B43" s="51">
        <v>45</v>
      </c>
      <c r="C43" s="52" t="s">
        <v>513</v>
      </c>
      <c r="F43" s="52"/>
      <c r="G43" s="51">
        <v>49</v>
      </c>
      <c r="H43" s="52" t="s">
        <v>511</v>
      </c>
      <c r="I43" s="52"/>
      <c r="J43" s="52"/>
    </row>
    <row r="44" spans="1:10" ht="12" customHeight="1" x14ac:dyDescent="0.25">
      <c r="A44" s="55" t="s">
        <v>520</v>
      </c>
      <c r="B44" s="51">
        <v>46</v>
      </c>
      <c r="C44" s="52" t="s">
        <v>508</v>
      </c>
      <c r="F44" s="52"/>
      <c r="G44" s="51">
        <v>50</v>
      </c>
      <c r="H44" s="52" t="s">
        <v>805</v>
      </c>
      <c r="I44" s="52"/>
      <c r="J44" s="52"/>
    </row>
    <row r="45" spans="1:10" ht="12" customHeight="1" x14ac:dyDescent="0.25">
      <c r="A45" s="55" t="s">
        <v>521</v>
      </c>
      <c r="B45" s="51">
        <v>47</v>
      </c>
      <c r="C45" s="52" t="s">
        <v>509</v>
      </c>
      <c r="F45" s="52"/>
      <c r="G45" s="51"/>
      <c r="H45" s="52"/>
      <c r="I45" s="52"/>
      <c r="J45" s="52"/>
    </row>
    <row r="46" spans="1:10" x14ac:dyDescent="0.25">
      <c r="A46" s="52"/>
      <c r="B46" s="52"/>
      <c r="C46" s="52"/>
      <c r="F46" s="52"/>
      <c r="G46" s="52"/>
      <c r="H46" s="52"/>
      <c r="I46" s="52"/>
      <c r="J46" s="52"/>
    </row>
    <row r="47" spans="1:10" ht="12.75" customHeight="1" x14ac:dyDescent="0.25">
      <c r="A47" s="241" t="s">
        <v>915</v>
      </c>
      <c r="B47" s="532"/>
      <c r="C47" s="532"/>
      <c r="D47" s="532"/>
      <c r="E47" s="532"/>
      <c r="F47" s="532"/>
      <c r="G47" s="532"/>
      <c r="H47" s="532"/>
      <c r="I47" s="532"/>
      <c r="J47" s="532"/>
    </row>
    <row r="48" spans="1:10" x14ac:dyDescent="0.25">
      <c r="A48" s="532"/>
      <c r="B48" s="532"/>
      <c r="C48" s="532"/>
      <c r="D48" s="532"/>
      <c r="E48" s="532"/>
      <c r="F48" s="532"/>
      <c r="G48" s="532"/>
      <c r="H48" s="532"/>
      <c r="I48" s="532"/>
      <c r="J48" s="532"/>
    </row>
    <row r="49" spans="1:11" x14ac:dyDescent="0.25">
      <c r="A49" s="532"/>
      <c r="B49" s="532"/>
      <c r="C49" s="532"/>
      <c r="D49" s="532"/>
      <c r="E49" s="532"/>
      <c r="F49" s="532"/>
      <c r="G49" s="532"/>
      <c r="H49" s="532"/>
      <c r="I49" s="532"/>
      <c r="J49" s="532"/>
    </row>
    <row r="50" spans="1:11" x14ac:dyDescent="0.25">
      <c r="A50" s="532"/>
      <c r="B50" s="532"/>
      <c r="C50" s="532"/>
      <c r="D50" s="532"/>
      <c r="E50" s="532"/>
      <c r="F50" s="532"/>
      <c r="G50" s="532"/>
      <c r="H50" s="532"/>
      <c r="I50" s="532"/>
      <c r="J50" s="532"/>
    </row>
    <row r="51" spans="1:11" x14ac:dyDescent="0.25">
      <c r="A51" s="532"/>
      <c r="B51" s="532"/>
      <c r="C51" s="532"/>
      <c r="D51" s="532"/>
      <c r="E51" s="532"/>
      <c r="F51" s="532"/>
      <c r="G51" s="532"/>
      <c r="H51" s="532"/>
      <c r="I51" s="532"/>
      <c r="J51" s="532"/>
    </row>
    <row r="52" spans="1:11" ht="12.75" hidden="1" customHeight="1" x14ac:dyDescent="0.25">
      <c r="A52" s="532"/>
      <c r="B52" s="532"/>
      <c r="C52" s="532"/>
      <c r="D52" s="532"/>
      <c r="E52" s="532"/>
      <c r="F52" s="532"/>
      <c r="G52" s="532"/>
      <c r="H52" s="532"/>
      <c r="I52" s="532"/>
      <c r="J52" s="532"/>
    </row>
    <row r="53" spans="1:11" ht="12.75" hidden="1" customHeight="1" x14ac:dyDescent="0.25">
      <c r="A53" s="532"/>
      <c r="B53" s="532"/>
      <c r="C53" s="532"/>
      <c r="D53" s="532"/>
      <c r="E53" s="532"/>
      <c r="F53" s="532"/>
      <c r="G53" s="532"/>
      <c r="H53" s="532"/>
      <c r="I53" s="532"/>
      <c r="J53" s="532"/>
    </row>
    <row r="54" spans="1:11" ht="12.75" hidden="1" customHeight="1" x14ac:dyDescent="0.25">
      <c r="A54" s="532"/>
      <c r="B54" s="532"/>
      <c r="C54" s="532"/>
      <c r="D54" s="532"/>
      <c r="E54" s="532"/>
      <c r="F54" s="532"/>
      <c r="G54" s="532"/>
      <c r="H54" s="532"/>
      <c r="I54" s="532"/>
      <c r="J54" s="532"/>
    </row>
    <row r="55" spans="1:11" ht="12.75" hidden="1" customHeight="1" x14ac:dyDescent="0.25">
      <c r="A55" s="532"/>
      <c r="B55" s="532"/>
      <c r="C55" s="532"/>
      <c r="D55" s="532"/>
      <c r="E55" s="532"/>
      <c r="F55" s="532"/>
      <c r="G55" s="532"/>
      <c r="H55" s="532"/>
      <c r="I55" s="532"/>
      <c r="J55" s="532"/>
    </row>
    <row r="56" spans="1:11" x14ac:dyDescent="0.25">
      <c r="A56" s="532"/>
      <c r="B56" s="532"/>
      <c r="C56" s="532"/>
      <c r="D56" s="532"/>
      <c r="E56" s="532"/>
      <c r="F56" s="532"/>
      <c r="G56" s="532"/>
      <c r="H56" s="532"/>
      <c r="I56" s="532"/>
      <c r="J56" s="532"/>
    </row>
    <row r="57" spans="1:11" x14ac:dyDescent="0.25">
      <c r="A57" s="519"/>
      <c r="B57" s="519"/>
      <c r="C57" s="519"/>
      <c r="D57" s="519"/>
      <c r="E57" s="519"/>
      <c r="F57" s="519"/>
      <c r="G57" s="519"/>
      <c r="H57" s="519"/>
      <c r="I57" s="519"/>
      <c r="J57" s="519"/>
      <c r="K57" s="519"/>
    </row>
    <row r="58" spans="1:11" x14ac:dyDescent="0.25">
      <c r="A58" s="519"/>
      <c r="B58" s="519"/>
      <c r="C58" s="519"/>
      <c r="D58" s="519"/>
      <c r="E58" s="519"/>
      <c r="F58" s="519"/>
      <c r="G58" s="519"/>
      <c r="H58" s="519"/>
      <c r="I58" s="519"/>
      <c r="J58" s="519"/>
      <c r="K58" s="519"/>
    </row>
    <row r="59" spans="1:11" x14ac:dyDescent="0.25">
      <c r="A59" s="231"/>
      <c r="B59" s="231"/>
      <c r="C59" s="231"/>
      <c r="D59" s="231"/>
      <c r="E59" s="231"/>
      <c r="F59" s="231"/>
      <c r="G59" s="231"/>
      <c r="H59" s="231"/>
      <c r="I59" s="231"/>
      <c r="J59" s="231"/>
      <c r="K59" s="231"/>
    </row>
    <row r="60" spans="1:11" x14ac:dyDescent="0.25">
      <c r="A60" s="122"/>
      <c r="B60" s="122"/>
      <c r="C60" s="122"/>
      <c r="D60" s="122"/>
      <c r="E60" s="122"/>
      <c r="F60" s="122"/>
      <c r="G60" s="122"/>
      <c r="H60" s="122"/>
      <c r="I60" s="122"/>
      <c r="J60" s="122"/>
    </row>
    <row r="61" spans="1:11" x14ac:dyDescent="0.25">
      <c r="A61" s="122"/>
      <c r="B61" s="122"/>
      <c r="C61" s="122"/>
      <c r="D61" s="122"/>
      <c r="E61" s="122"/>
      <c r="F61" s="122"/>
      <c r="G61" s="122"/>
      <c r="H61" s="122"/>
      <c r="I61" s="122"/>
      <c r="J61" s="122"/>
    </row>
    <row r="62" spans="1:11" x14ac:dyDescent="0.25">
      <c r="A62" s="122"/>
      <c r="B62" s="122"/>
      <c r="C62" s="122"/>
      <c r="D62" s="122"/>
      <c r="E62" s="122"/>
      <c r="F62" s="122"/>
      <c r="G62" s="122"/>
      <c r="H62" s="122"/>
      <c r="I62" s="122"/>
      <c r="J62" s="122"/>
    </row>
    <row r="63" spans="1:11" x14ac:dyDescent="0.25">
      <c r="A63" s="122"/>
      <c r="B63" s="122"/>
      <c r="C63" s="122"/>
      <c r="D63" s="122"/>
      <c r="E63" s="122"/>
      <c r="F63" s="122"/>
      <c r="G63" s="122"/>
      <c r="H63" s="122"/>
      <c r="I63" s="122"/>
      <c r="J63" s="122"/>
    </row>
    <row r="64" spans="1:11" ht="12.75" customHeight="1" x14ac:dyDescent="0.25">
      <c r="I64" s="461"/>
      <c r="J64" s="462"/>
    </row>
    <row r="65" spans="1:10" ht="15.75" customHeight="1" x14ac:dyDescent="0.3">
      <c r="A65" s="355" t="s">
        <v>848</v>
      </c>
      <c r="B65" s="356"/>
      <c r="C65" s="356"/>
      <c r="D65" s="356"/>
      <c r="E65" s="356"/>
      <c r="F65" s="356"/>
      <c r="G65" s="356"/>
      <c r="H65" s="353" t="str">
        <f>'CONTACT INFORMATION'!$A$24</f>
        <v>Alameda</v>
      </c>
      <c r="I65" s="353"/>
      <c r="J65" s="354"/>
    </row>
    <row r="66" spans="1:10" ht="12" customHeight="1" x14ac:dyDescent="0.25">
      <c r="A66" s="74"/>
      <c r="B66" s="74"/>
      <c r="C66" s="74"/>
      <c r="D66" s="74"/>
      <c r="E66" s="74"/>
      <c r="F66" s="74"/>
      <c r="G66" s="74"/>
      <c r="H66" s="74"/>
      <c r="I66" s="74"/>
      <c r="J66" s="74"/>
    </row>
    <row r="67" spans="1:10" ht="12.75" customHeight="1" x14ac:dyDescent="0.25">
      <c r="B67" s="285" t="s">
        <v>538</v>
      </c>
      <c r="C67" s="285"/>
      <c r="D67" s="285"/>
      <c r="E67" s="285"/>
      <c r="F67" s="285"/>
      <c r="G67" s="285"/>
      <c r="H67" s="285"/>
      <c r="I67" s="285"/>
      <c r="J67" s="56"/>
    </row>
    <row r="68" spans="1:10" ht="12.75" customHeight="1" x14ac:dyDescent="0.25">
      <c r="A68" s="56"/>
      <c r="B68" s="285"/>
      <c r="C68" s="285"/>
      <c r="D68" s="285"/>
      <c r="E68" s="285"/>
      <c r="F68" s="285"/>
      <c r="G68" s="285"/>
      <c r="H68" s="285"/>
      <c r="I68" s="285"/>
      <c r="J68" s="56"/>
    </row>
    <row r="69" spans="1:10" x14ac:dyDescent="0.25">
      <c r="A69" s="56"/>
      <c r="B69" s="285"/>
      <c r="C69" s="285"/>
      <c r="D69" s="285"/>
      <c r="E69" s="285"/>
      <c r="F69" s="285"/>
      <c r="G69" s="285"/>
      <c r="H69" s="285"/>
      <c r="I69" s="285"/>
      <c r="J69" s="56"/>
    </row>
    <row r="70" spans="1:10" ht="12.9" customHeight="1" x14ac:dyDescent="0.25">
      <c r="A70" s="56"/>
      <c r="B70" s="115"/>
      <c r="C70" s="115"/>
      <c r="D70" s="115"/>
      <c r="E70" s="115"/>
      <c r="F70" s="115"/>
      <c r="G70" s="115"/>
      <c r="H70" s="115"/>
      <c r="I70" s="115"/>
      <c r="J70" s="115"/>
    </row>
    <row r="71" spans="1:10" ht="12.75" customHeight="1" x14ac:dyDescent="0.25">
      <c r="A71" s="56"/>
      <c r="B71" s="285" t="s">
        <v>214</v>
      </c>
      <c r="C71" s="285"/>
      <c r="D71" s="285"/>
      <c r="E71" s="285"/>
      <c r="F71" s="285"/>
      <c r="G71" s="285"/>
      <c r="H71" s="285"/>
      <c r="I71" s="285"/>
      <c r="J71" s="56"/>
    </row>
    <row r="72" spans="1:10" ht="12.75" customHeight="1" x14ac:dyDescent="0.25">
      <c r="A72" s="56"/>
      <c r="B72" s="285"/>
      <c r="C72" s="285"/>
      <c r="D72" s="285"/>
      <c r="E72" s="285"/>
      <c r="F72" s="285"/>
      <c r="G72" s="285"/>
      <c r="H72" s="285"/>
      <c r="I72" s="285"/>
      <c r="J72" s="56"/>
    </row>
    <row r="73" spans="1:10" x14ac:dyDescent="0.25">
      <c r="A73" s="56"/>
      <c r="B73" s="285"/>
      <c r="C73" s="285"/>
      <c r="D73" s="285"/>
      <c r="E73" s="285"/>
      <c r="F73" s="285"/>
      <c r="G73" s="285"/>
      <c r="H73" s="285"/>
      <c r="I73" s="285"/>
      <c r="J73" s="56"/>
    </row>
    <row r="74" spans="1:10" ht="12.75" customHeight="1" x14ac:dyDescent="0.25">
      <c r="A74" s="56"/>
      <c r="B74" s="285"/>
      <c r="C74" s="285"/>
      <c r="D74" s="285"/>
      <c r="E74" s="285"/>
      <c r="F74" s="285"/>
      <c r="G74" s="285"/>
      <c r="H74" s="285"/>
      <c r="I74" s="285"/>
      <c r="J74" s="56"/>
    </row>
    <row r="75" spans="1:10" ht="12.9" customHeight="1" x14ac:dyDescent="0.25">
      <c r="A75" s="56"/>
      <c r="B75" s="285"/>
      <c r="C75" s="285"/>
      <c r="D75" s="285"/>
      <c r="E75" s="285"/>
      <c r="F75" s="285"/>
      <c r="G75" s="285"/>
      <c r="H75" s="285"/>
      <c r="I75" s="285"/>
      <c r="J75" s="115"/>
    </row>
    <row r="76" spans="1:10" ht="12.9" customHeight="1" x14ac:dyDescent="0.25">
      <c r="A76" s="56"/>
      <c r="B76" s="115"/>
      <c r="C76" s="115"/>
      <c r="D76" s="115"/>
      <c r="E76" s="115"/>
      <c r="F76" s="115"/>
      <c r="G76" s="115"/>
      <c r="H76" s="115"/>
      <c r="I76" s="115"/>
      <c r="J76" s="115"/>
    </row>
    <row r="77" spans="1:10" ht="12.75" customHeight="1" x14ac:dyDescent="0.25">
      <c r="A77" s="45"/>
      <c r="B77" s="285" t="s">
        <v>833</v>
      </c>
      <c r="C77" s="285"/>
      <c r="D77" s="285"/>
      <c r="E77" s="285"/>
      <c r="F77" s="285"/>
      <c r="G77" s="285"/>
      <c r="H77" s="285"/>
      <c r="I77" s="285"/>
      <c r="J77" s="56"/>
    </row>
    <row r="78" spans="1:10" ht="12.75" customHeight="1" x14ac:dyDescent="0.25">
      <c r="A78" s="45"/>
      <c r="B78" s="285"/>
      <c r="C78" s="285"/>
      <c r="D78" s="285"/>
      <c r="E78" s="285"/>
      <c r="F78" s="285"/>
      <c r="G78" s="285"/>
      <c r="H78" s="285"/>
      <c r="I78" s="285"/>
      <c r="J78" s="56"/>
    </row>
    <row r="79" spans="1:10" ht="12.9" customHeight="1" x14ac:dyDescent="0.25">
      <c r="A79" s="45"/>
      <c r="B79" s="285"/>
      <c r="C79" s="285"/>
      <c r="D79" s="285"/>
      <c r="E79" s="285"/>
      <c r="F79" s="285"/>
      <c r="G79" s="285"/>
      <c r="H79" s="285"/>
      <c r="I79" s="285"/>
      <c r="J79" s="115"/>
    </row>
    <row r="80" spans="1:10" ht="12.9" customHeight="1" x14ac:dyDescent="0.25">
      <c r="A80" s="45"/>
      <c r="B80" s="229"/>
      <c r="C80" s="229"/>
      <c r="D80" s="229"/>
      <c r="E80" s="229"/>
      <c r="F80" s="229"/>
      <c r="G80" s="229"/>
      <c r="H80" s="229"/>
      <c r="I80" s="229"/>
      <c r="J80" s="115"/>
    </row>
    <row r="81" spans="1:10" ht="12.75" customHeight="1" x14ac:dyDescent="0.25">
      <c r="A81" s="45"/>
      <c r="B81" s="531" t="s">
        <v>841</v>
      </c>
      <c r="C81" s="531"/>
      <c r="D81" s="531"/>
      <c r="E81" s="531"/>
      <c r="F81" s="531"/>
      <c r="G81" s="531"/>
      <c r="H81" s="531"/>
      <c r="I81" s="531"/>
      <c r="J81" s="56"/>
    </row>
    <row r="82" spans="1:10" x14ac:dyDescent="0.25">
      <c r="A82" s="45"/>
      <c r="B82" s="531"/>
      <c r="C82" s="531"/>
      <c r="D82" s="531"/>
      <c r="E82" s="531"/>
      <c r="F82" s="531"/>
      <c r="G82" s="531"/>
      <c r="H82" s="531"/>
      <c r="I82" s="531"/>
      <c r="J82" s="56"/>
    </row>
    <row r="83" spans="1:10" x14ac:dyDescent="0.25">
      <c r="A83" s="45"/>
      <c r="B83" s="531"/>
      <c r="C83" s="531"/>
      <c r="D83" s="531"/>
      <c r="E83" s="531"/>
      <c r="F83" s="531"/>
      <c r="G83" s="531"/>
      <c r="H83" s="531"/>
      <c r="I83" s="531"/>
      <c r="J83" s="56"/>
    </row>
    <row r="84" spans="1:10" ht="12.9" customHeight="1" x14ac:dyDescent="0.25">
      <c r="A84" s="45"/>
      <c r="B84" s="531"/>
      <c r="C84" s="531"/>
      <c r="D84" s="531"/>
      <c r="E84" s="531"/>
      <c r="F84" s="531"/>
      <c r="G84" s="531"/>
      <c r="H84" s="531"/>
      <c r="I84" s="531"/>
      <c r="J84" s="115"/>
    </row>
    <row r="85" spans="1:10" ht="12.9" customHeight="1" x14ac:dyDescent="0.25">
      <c r="A85" s="45"/>
      <c r="B85" s="115"/>
      <c r="C85" s="115"/>
      <c r="D85" s="115"/>
      <c r="E85" s="115"/>
      <c r="F85" s="115"/>
      <c r="G85" s="115"/>
      <c r="H85" s="115"/>
      <c r="I85" s="115"/>
      <c r="J85" s="115"/>
    </row>
    <row r="86" spans="1:10" ht="12.75" customHeight="1" x14ac:dyDescent="0.25">
      <c r="A86" s="45"/>
      <c r="B86" s="285" t="s">
        <v>834</v>
      </c>
      <c r="C86" s="285"/>
      <c r="D86" s="285"/>
      <c r="E86" s="285"/>
      <c r="F86" s="285"/>
      <c r="G86" s="285"/>
      <c r="H86" s="285"/>
      <c r="I86" s="285"/>
      <c r="J86" s="74"/>
    </row>
    <row r="87" spans="1:10" x14ac:dyDescent="0.25">
      <c r="A87" s="45"/>
      <c r="B87" s="285"/>
      <c r="C87" s="285"/>
      <c r="D87" s="285"/>
      <c r="E87" s="285"/>
      <c r="F87" s="285"/>
      <c r="G87" s="285"/>
      <c r="H87" s="285"/>
      <c r="I87" s="285"/>
      <c r="J87" s="74"/>
    </row>
    <row r="88" spans="1:10" x14ac:dyDescent="0.25">
      <c r="A88" s="45"/>
      <c r="B88" s="285"/>
      <c r="C88" s="285"/>
      <c r="D88" s="285"/>
      <c r="E88" s="285"/>
      <c r="F88" s="285"/>
      <c r="G88" s="285"/>
      <c r="H88" s="285"/>
      <c r="I88" s="285"/>
      <c r="J88" s="74"/>
    </row>
    <row r="89" spans="1:10" ht="12.9" customHeight="1" x14ac:dyDescent="0.25">
      <c r="A89" s="45"/>
      <c r="B89" s="227"/>
      <c r="C89" s="227"/>
      <c r="D89" s="227"/>
      <c r="E89" s="227"/>
      <c r="F89" s="227"/>
      <c r="G89" s="227"/>
      <c r="H89" s="227"/>
      <c r="I89" s="227"/>
      <c r="J89" s="227"/>
    </row>
    <row r="90" spans="1:10" ht="12.75" customHeight="1" x14ac:dyDescent="0.25">
      <c r="A90" s="45"/>
      <c r="B90" s="285" t="s">
        <v>812</v>
      </c>
      <c r="C90" s="285"/>
      <c r="D90" s="285"/>
      <c r="E90" s="285"/>
      <c r="F90" s="285"/>
      <c r="G90" s="285"/>
      <c r="H90" s="285"/>
      <c r="I90" s="285"/>
      <c r="J90" s="74"/>
    </row>
    <row r="91" spans="1:10" ht="24.75" customHeight="1" x14ac:dyDescent="0.25">
      <c r="A91" s="45"/>
      <c r="B91" s="285"/>
      <c r="C91" s="285"/>
      <c r="D91" s="285"/>
      <c r="E91" s="285"/>
      <c r="F91" s="285"/>
      <c r="G91" s="285"/>
      <c r="H91" s="285"/>
      <c r="I91" s="285"/>
      <c r="J91" s="74"/>
    </row>
    <row r="92" spans="1:10" ht="9" customHeight="1" x14ac:dyDescent="0.25">
      <c r="A92" s="45"/>
      <c r="B92" s="45"/>
      <c r="C92" s="45"/>
      <c r="D92" s="45"/>
      <c r="E92" s="45"/>
      <c r="F92" s="45"/>
      <c r="G92" s="45"/>
      <c r="H92" s="45"/>
      <c r="I92" s="45"/>
      <c r="J92" s="45"/>
    </row>
    <row r="93" spans="1:10" ht="5.0999999999999996" customHeight="1" x14ac:dyDescent="0.25">
      <c r="A93" s="45"/>
      <c r="B93" s="45"/>
      <c r="C93" s="45"/>
      <c r="D93" s="45"/>
      <c r="E93" s="45"/>
      <c r="F93" s="45"/>
      <c r="G93" s="45"/>
      <c r="H93" s="45"/>
      <c r="I93" s="45"/>
      <c r="J93" s="45"/>
    </row>
    <row r="94" spans="1:10" ht="12.75" customHeight="1" x14ac:dyDescent="0.25">
      <c r="A94" s="458" t="s">
        <v>840</v>
      </c>
      <c r="B94" s="459"/>
      <c r="C94" s="459"/>
      <c r="D94" s="459"/>
      <c r="E94" s="459"/>
      <c r="F94" s="459"/>
      <c r="G94" s="459"/>
      <c r="H94" s="459"/>
      <c r="I94" s="459"/>
      <c r="J94" s="459"/>
    </row>
    <row r="95" spans="1:10" x14ac:dyDescent="0.25">
      <c r="A95" s="459"/>
      <c r="B95" s="459"/>
      <c r="C95" s="459"/>
      <c r="D95" s="459"/>
      <c r="E95" s="459"/>
      <c r="F95" s="459"/>
      <c r="G95" s="459"/>
      <c r="H95" s="459"/>
      <c r="I95" s="459"/>
      <c r="J95" s="459"/>
    </row>
    <row r="96" spans="1:10" x14ac:dyDescent="0.25">
      <c r="A96" s="459"/>
      <c r="B96" s="459"/>
      <c r="C96" s="459"/>
      <c r="D96" s="459"/>
      <c r="E96" s="459"/>
      <c r="F96" s="459"/>
      <c r="G96" s="459"/>
      <c r="H96" s="459"/>
      <c r="I96" s="459"/>
      <c r="J96" s="459"/>
    </row>
    <row r="97" spans="1:11" ht="12.75" hidden="1" customHeight="1" x14ac:dyDescent="0.25">
      <c r="A97" s="459"/>
      <c r="B97" s="459"/>
      <c r="C97" s="459"/>
      <c r="D97" s="459"/>
      <c r="E97" s="459"/>
      <c r="F97" s="459"/>
      <c r="G97" s="459"/>
      <c r="H97" s="459"/>
      <c r="I97" s="459"/>
      <c r="J97" s="459"/>
    </row>
    <row r="98" spans="1:11" ht="12.75" hidden="1" customHeight="1" x14ac:dyDescent="0.25">
      <c r="A98" s="459"/>
      <c r="B98" s="459"/>
      <c r="C98" s="459"/>
      <c r="D98" s="459"/>
      <c r="E98" s="459"/>
      <c r="F98" s="459"/>
      <c r="G98" s="459"/>
      <c r="H98" s="459"/>
      <c r="I98" s="459"/>
      <c r="J98" s="459"/>
    </row>
    <row r="99" spans="1:11" ht="12.75" hidden="1" customHeight="1" x14ac:dyDescent="0.25">
      <c r="A99" s="459"/>
      <c r="B99" s="459"/>
      <c r="C99" s="459"/>
      <c r="D99" s="459"/>
      <c r="E99" s="459"/>
      <c r="F99" s="459"/>
      <c r="G99" s="459"/>
      <c r="H99" s="459"/>
      <c r="I99" s="459"/>
      <c r="J99" s="459"/>
    </row>
    <row r="100" spans="1:11" ht="12.75" hidden="1" customHeight="1" x14ac:dyDescent="0.25">
      <c r="A100" s="459"/>
      <c r="B100" s="459"/>
      <c r="C100" s="459"/>
      <c r="D100" s="459"/>
      <c r="E100" s="459"/>
      <c r="F100" s="459"/>
      <c r="G100" s="459"/>
      <c r="H100" s="459"/>
      <c r="I100" s="459"/>
      <c r="J100" s="459"/>
    </row>
    <row r="101" spans="1:11" ht="4.5" customHeight="1" x14ac:dyDescent="0.25">
      <c r="A101" s="459"/>
      <c r="B101" s="459"/>
      <c r="C101" s="459"/>
      <c r="D101" s="459"/>
      <c r="E101" s="459"/>
      <c r="F101" s="459"/>
      <c r="G101" s="459"/>
      <c r="H101" s="459"/>
      <c r="I101" s="459"/>
      <c r="J101" s="459"/>
    </row>
    <row r="102" spans="1:11" ht="7.5" customHeight="1" x14ac:dyDescent="0.25">
      <c r="A102" s="121"/>
      <c r="B102" s="121"/>
      <c r="C102" s="121"/>
      <c r="D102" s="121"/>
      <c r="E102" s="121"/>
      <c r="F102" s="121"/>
      <c r="G102" s="121"/>
      <c r="H102" s="121"/>
      <c r="I102" s="121"/>
      <c r="J102" s="121"/>
    </row>
    <row r="103" spans="1:11" ht="12.75" customHeight="1" x14ac:dyDescent="0.25">
      <c r="A103" s="458" t="s">
        <v>919</v>
      </c>
      <c r="B103" s="459"/>
      <c r="C103" s="459"/>
      <c r="D103" s="459"/>
      <c r="E103" s="459"/>
      <c r="F103" s="459"/>
      <c r="G103" s="459"/>
      <c r="H103" s="459"/>
      <c r="I103" s="459"/>
      <c r="J103" s="459"/>
    </row>
    <row r="104" spans="1:11" ht="12.75" customHeight="1" x14ac:dyDescent="0.25">
      <c r="A104" s="459"/>
      <c r="B104" s="459"/>
      <c r="C104" s="459"/>
      <c r="D104" s="459"/>
      <c r="E104" s="459"/>
      <c r="F104" s="459"/>
      <c r="G104" s="459"/>
      <c r="H104" s="459"/>
      <c r="I104" s="459"/>
      <c r="J104" s="459"/>
    </row>
    <row r="105" spans="1:11" ht="12.75" customHeight="1" x14ac:dyDescent="0.25">
      <c r="A105" s="459"/>
      <c r="B105" s="459"/>
      <c r="C105" s="459"/>
      <c r="D105" s="459"/>
      <c r="E105" s="459"/>
      <c r="F105" s="459"/>
      <c r="G105" s="459"/>
      <c r="H105" s="459"/>
      <c r="I105" s="459"/>
      <c r="J105" s="459"/>
    </row>
    <row r="106" spans="1:11" ht="12.75" customHeight="1" x14ac:dyDescent="0.25">
      <c r="A106" s="46"/>
      <c r="B106" s="46"/>
      <c r="C106" s="46"/>
      <c r="D106" s="46"/>
      <c r="E106" s="46"/>
      <c r="F106" s="46"/>
      <c r="G106" s="46"/>
      <c r="H106" s="46"/>
      <c r="I106" s="46"/>
      <c r="J106" s="46"/>
    </row>
    <row r="107" spans="1:11" ht="20.399999999999999" customHeight="1" x14ac:dyDescent="0.25">
      <c r="A107" s="526" t="s">
        <v>916</v>
      </c>
      <c r="B107" s="527"/>
      <c r="C107" s="527"/>
      <c r="D107" s="527"/>
      <c r="E107" s="527"/>
      <c r="F107" s="527"/>
      <c r="G107" s="527"/>
      <c r="H107" s="527"/>
      <c r="I107" s="527"/>
      <c r="J107" s="527"/>
      <c r="K107" s="527"/>
    </row>
    <row r="108" spans="1:11" ht="12.75" customHeight="1" x14ac:dyDescent="0.25">
      <c r="A108" s="46"/>
      <c r="B108" s="46"/>
      <c r="C108" s="46"/>
      <c r="D108" s="46"/>
      <c r="E108" s="46"/>
      <c r="F108" s="46"/>
      <c r="G108" s="46"/>
      <c r="H108" s="46"/>
      <c r="I108" s="46"/>
      <c r="J108" s="46"/>
    </row>
    <row r="109" spans="1:11" ht="12.75" customHeight="1" x14ac:dyDescent="0.25">
      <c r="A109" s="46"/>
      <c r="B109" s="46"/>
      <c r="C109" s="46"/>
      <c r="D109" s="46"/>
      <c r="E109" s="46"/>
      <c r="F109" s="46"/>
      <c r="G109" s="46"/>
      <c r="H109" s="46"/>
      <c r="I109" s="46"/>
      <c r="J109" s="46"/>
    </row>
    <row r="110" spans="1:11" ht="12.75" customHeight="1" x14ac:dyDescent="0.25">
      <c r="A110" s="46"/>
      <c r="B110" s="46"/>
      <c r="C110" s="46"/>
      <c r="D110" s="46"/>
      <c r="E110" s="46"/>
      <c r="F110" s="46"/>
      <c r="G110" s="46"/>
      <c r="H110" s="46"/>
      <c r="I110" s="46"/>
      <c r="J110" s="46"/>
    </row>
    <row r="111" spans="1:11" ht="12.75" customHeight="1" x14ac:dyDescent="0.25">
      <c r="A111" s="46"/>
      <c r="B111" s="46"/>
      <c r="C111" s="46"/>
      <c r="D111" s="46"/>
      <c r="E111" s="46"/>
      <c r="F111" s="46"/>
      <c r="G111" s="46"/>
      <c r="H111" s="46"/>
      <c r="I111" s="46"/>
      <c r="J111" s="46"/>
    </row>
    <row r="112" spans="1:11" ht="12.75" customHeight="1" x14ac:dyDescent="0.25">
      <c r="A112" s="46"/>
      <c r="B112" s="46"/>
      <c r="C112" s="46"/>
      <c r="D112" s="46"/>
      <c r="E112" s="46"/>
      <c r="F112" s="46"/>
      <c r="G112" s="46"/>
      <c r="H112" s="46"/>
      <c r="I112" s="46"/>
      <c r="J112" s="46"/>
    </row>
    <row r="113" spans="1:12" ht="12.75" customHeight="1" x14ac:dyDescent="0.25">
      <c r="A113" s="46"/>
      <c r="B113" s="46"/>
      <c r="C113" s="46"/>
      <c r="D113" s="46"/>
      <c r="E113" s="46"/>
      <c r="F113" s="46"/>
      <c r="G113" s="46"/>
      <c r="H113" s="46"/>
      <c r="I113" s="46"/>
      <c r="J113" s="46"/>
    </row>
    <row r="114" spans="1:12" ht="12.75" customHeight="1" x14ac:dyDescent="0.25">
      <c r="A114" s="46"/>
      <c r="B114" s="46"/>
      <c r="C114" s="46"/>
      <c r="D114" s="46"/>
      <c r="E114" s="46"/>
      <c r="F114" s="46"/>
      <c r="G114" s="46"/>
      <c r="H114" s="46"/>
      <c r="I114" s="46"/>
      <c r="J114" s="46"/>
    </row>
    <row r="115" spans="1:12" ht="12.75" customHeight="1" x14ac:dyDescent="0.25">
      <c r="A115" s="46"/>
      <c r="B115" s="46"/>
      <c r="C115" s="46"/>
      <c r="D115" s="46"/>
      <c r="E115" s="46"/>
      <c r="F115" s="46"/>
      <c r="G115" s="46"/>
      <c r="H115" s="46"/>
      <c r="I115" s="46"/>
      <c r="J115" s="46"/>
    </row>
    <row r="116" spans="1:12" ht="12.75" customHeight="1" x14ac:dyDescent="0.25">
      <c r="A116" s="46"/>
      <c r="B116" s="46"/>
      <c r="C116" s="46"/>
      <c r="D116" s="46"/>
      <c r="E116" s="46"/>
      <c r="F116" s="46"/>
      <c r="G116" s="46"/>
      <c r="H116" s="46"/>
      <c r="I116" s="46"/>
      <c r="J116" s="46"/>
    </row>
    <row r="117" spans="1:12" ht="12.75" customHeight="1" x14ac:dyDescent="0.25">
      <c r="A117" s="46"/>
      <c r="B117" s="46"/>
      <c r="C117" s="46"/>
      <c r="D117" s="46"/>
      <c r="E117" s="46"/>
      <c r="F117" s="46"/>
      <c r="G117" s="46"/>
      <c r="H117" s="46"/>
      <c r="I117" s="46"/>
      <c r="J117" s="46"/>
    </row>
    <row r="118" spans="1:12" ht="12.75" customHeight="1" x14ac:dyDescent="0.25">
      <c r="A118" s="46"/>
      <c r="B118" s="46"/>
      <c r="C118" s="46"/>
      <c r="D118" s="46"/>
      <c r="E118" s="46"/>
      <c r="F118" s="46"/>
      <c r="G118" s="46"/>
      <c r="H118" s="46"/>
      <c r="I118" s="46"/>
      <c r="J118" s="46"/>
    </row>
    <row r="119" spans="1:12" ht="12.75" customHeight="1" x14ac:dyDescent="0.25">
      <c r="A119" s="46"/>
      <c r="B119" s="46"/>
      <c r="C119" s="46"/>
      <c r="D119" s="46"/>
      <c r="E119" s="46"/>
      <c r="F119" s="46"/>
      <c r="G119" s="46"/>
      <c r="H119" s="46"/>
      <c r="I119" s="46"/>
      <c r="J119" s="46"/>
    </row>
    <row r="120" spans="1:12" ht="12.75" customHeight="1" x14ac:dyDescent="0.25">
      <c r="A120" s="46"/>
      <c r="B120" s="46"/>
      <c r="C120" s="46"/>
      <c r="D120" s="46"/>
      <c r="E120" s="46"/>
      <c r="F120" s="46"/>
      <c r="G120" s="46"/>
      <c r="H120" s="46"/>
      <c r="I120" s="46"/>
      <c r="J120" s="46"/>
    </row>
    <row r="121" spans="1:12" ht="12.75" customHeight="1" x14ac:dyDescent="0.25">
      <c r="A121" s="46"/>
      <c r="B121" s="46"/>
      <c r="C121" s="46"/>
      <c r="D121" s="46"/>
      <c r="E121" s="46"/>
      <c r="F121" s="46"/>
      <c r="G121" s="46"/>
      <c r="H121" s="46"/>
      <c r="I121" s="46"/>
      <c r="J121" s="46"/>
    </row>
    <row r="122" spans="1:12" ht="12.75" customHeight="1" x14ac:dyDescent="0.25">
      <c r="A122" s="46"/>
      <c r="B122" s="46"/>
      <c r="C122" s="46"/>
      <c r="D122" s="46"/>
      <c r="E122" s="46"/>
      <c r="F122" s="46"/>
      <c r="G122" s="46"/>
      <c r="H122" s="46"/>
      <c r="I122" s="46"/>
      <c r="J122" s="46"/>
    </row>
    <row r="123" spans="1:12" ht="12.75" customHeight="1" x14ac:dyDescent="0.25">
      <c r="A123" s="46"/>
      <c r="B123" s="46"/>
      <c r="C123" s="46"/>
      <c r="D123" s="46"/>
      <c r="E123" s="46"/>
      <c r="F123" s="46"/>
      <c r="G123" s="46"/>
      <c r="H123" s="46"/>
      <c r="I123" s="46"/>
      <c r="J123" s="46"/>
    </row>
    <row r="124" spans="1:12" ht="12.75" customHeight="1" x14ac:dyDescent="0.25">
      <c r="A124" s="46"/>
      <c r="B124" s="46"/>
      <c r="C124" s="46"/>
      <c r="D124" s="46"/>
      <c r="E124" s="46"/>
      <c r="F124" s="46"/>
      <c r="G124" s="46"/>
      <c r="H124" s="46"/>
      <c r="I124" s="46"/>
      <c r="J124" s="46"/>
    </row>
    <row r="125" spans="1:12" ht="15.6" x14ac:dyDescent="0.3">
      <c r="A125" s="355" t="s">
        <v>848</v>
      </c>
      <c r="B125" s="356"/>
      <c r="C125" s="356"/>
      <c r="D125" s="356"/>
      <c r="E125" s="356"/>
      <c r="F125" s="356"/>
      <c r="G125" s="356"/>
      <c r="H125" s="353" t="str">
        <f>'CONTACT INFORMATION'!$A$24</f>
        <v>Alameda</v>
      </c>
      <c r="I125" s="353"/>
      <c r="J125" s="354"/>
      <c r="K125" s="189"/>
      <c r="L125" s="189"/>
    </row>
    <row r="126" spans="1:12" ht="8.4" customHeight="1" x14ac:dyDescent="0.3">
      <c r="A126" s="57"/>
      <c r="B126" s="57"/>
      <c r="C126" s="57"/>
      <c r="D126" s="57"/>
      <c r="E126" s="57"/>
      <c r="F126" s="57"/>
      <c r="G126" s="57"/>
      <c r="H126" s="57"/>
      <c r="I126" s="57"/>
      <c r="J126" s="57"/>
      <c r="K126" s="189"/>
      <c r="L126" s="189"/>
    </row>
    <row r="127" spans="1:12" ht="13.8" x14ac:dyDescent="0.25">
      <c r="A127" s="466" t="s">
        <v>878</v>
      </c>
      <c r="B127" s="467"/>
      <c r="C127" s="467"/>
      <c r="D127" s="467"/>
      <c r="E127" s="467"/>
      <c r="F127" s="467"/>
      <c r="G127" s="467"/>
      <c r="H127" s="467"/>
      <c r="I127" s="467"/>
      <c r="J127" s="468"/>
    </row>
    <row r="128" spans="1:12" ht="12.75" customHeight="1" x14ac:dyDescent="0.25">
      <c r="A128" s="463" t="s">
        <v>854</v>
      </c>
      <c r="B128" s="464"/>
      <c r="C128" s="464"/>
      <c r="D128" s="465"/>
      <c r="E128" s="544" t="s">
        <v>956</v>
      </c>
      <c r="F128" s="545"/>
      <c r="G128" s="545"/>
      <c r="H128" s="545"/>
      <c r="I128" s="545"/>
      <c r="J128" s="546"/>
    </row>
    <row r="129" spans="1:16" ht="12.75" customHeight="1" x14ac:dyDescent="0.25">
      <c r="A129" s="503" t="s">
        <v>912</v>
      </c>
      <c r="B129" s="504"/>
      <c r="C129" s="504"/>
      <c r="D129" s="505"/>
      <c r="E129" s="547"/>
      <c r="F129" s="548"/>
      <c r="G129" s="548"/>
      <c r="H129" s="548"/>
      <c r="I129" s="548"/>
      <c r="J129" s="549"/>
    </row>
    <row r="130" spans="1:16" x14ac:dyDescent="0.25">
      <c r="A130" s="506" t="s">
        <v>913</v>
      </c>
      <c r="B130" s="507"/>
      <c r="C130" s="507"/>
      <c r="D130" s="507"/>
      <c r="E130" s="528" t="s">
        <v>510</v>
      </c>
      <c r="F130" s="529"/>
      <c r="G130" s="529"/>
      <c r="H130" s="529"/>
      <c r="I130" s="529"/>
      <c r="J130" s="530"/>
    </row>
    <row r="131" spans="1:16" ht="27" customHeight="1" x14ac:dyDescent="0.25">
      <c r="A131" s="58"/>
      <c r="B131" s="59"/>
      <c r="C131" s="59"/>
      <c r="D131" s="59"/>
      <c r="E131" s="482" t="s">
        <v>535</v>
      </c>
      <c r="F131" s="483"/>
      <c r="G131" s="482" t="s">
        <v>533</v>
      </c>
      <c r="H131" s="483"/>
      <c r="I131" s="484" t="s">
        <v>849</v>
      </c>
      <c r="J131" s="485"/>
    </row>
    <row r="132" spans="1:16" x14ac:dyDescent="0.25">
      <c r="A132" s="510" t="s">
        <v>527</v>
      </c>
      <c r="B132" s="510"/>
      <c r="C132" s="510"/>
      <c r="D132" s="510"/>
      <c r="E132" s="456"/>
      <c r="F132" s="456"/>
      <c r="G132" s="456"/>
      <c r="H132" s="456"/>
      <c r="I132" s="457"/>
      <c r="J132" s="457"/>
    </row>
    <row r="133" spans="1:16" x14ac:dyDescent="0.25">
      <c r="A133" s="511" t="s">
        <v>528</v>
      </c>
      <c r="B133" s="511"/>
      <c r="C133" s="511"/>
      <c r="D133" s="511"/>
      <c r="E133" s="554">
        <v>113739</v>
      </c>
      <c r="F133" s="555"/>
      <c r="G133" s="440"/>
      <c r="H133" s="440"/>
      <c r="I133" s="455"/>
      <c r="J133" s="455"/>
    </row>
    <row r="134" spans="1:16" x14ac:dyDescent="0.25">
      <c r="A134" s="510" t="s">
        <v>529</v>
      </c>
      <c r="B134" s="510"/>
      <c r="C134" s="510"/>
      <c r="D134" s="510"/>
      <c r="E134" s="456"/>
      <c r="F134" s="456"/>
      <c r="G134" s="456"/>
      <c r="H134" s="456"/>
      <c r="I134" s="457"/>
      <c r="J134" s="457"/>
    </row>
    <row r="135" spans="1:16" x14ac:dyDescent="0.25">
      <c r="A135" s="511" t="s">
        <v>530</v>
      </c>
      <c r="B135" s="511"/>
      <c r="C135" s="511"/>
      <c r="D135" s="511"/>
      <c r="E135" s="439"/>
      <c r="F135" s="439"/>
      <c r="G135" s="440"/>
      <c r="H135" s="440"/>
      <c r="I135" s="455"/>
      <c r="J135" s="455"/>
    </row>
    <row r="136" spans="1:16" x14ac:dyDescent="0.25">
      <c r="A136" s="510" t="s">
        <v>531</v>
      </c>
      <c r="B136" s="510"/>
      <c r="C136" s="510"/>
      <c r="D136" s="510"/>
      <c r="E136" s="456"/>
      <c r="F136" s="456"/>
      <c r="G136" s="456"/>
      <c r="H136" s="456"/>
      <c r="I136" s="457"/>
      <c r="J136" s="457"/>
    </row>
    <row r="137" spans="1:16" x14ac:dyDescent="0.25">
      <c r="A137" s="511" t="s">
        <v>532</v>
      </c>
      <c r="B137" s="511"/>
      <c r="C137" s="511"/>
      <c r="D137" s="511"/>
      <c r="E137" s="439"/>
      <c r="F137" s="439"/>
      <c r="G137" s="440"/>
      <c r="H137" s="440"/>
      <c r="I137" s="455"/>
      <c r="J137" s="455"/>
    </row>
    <row r="138" spans="1:16" x14ac:dyDescent="0.25">
      <c r="A138" s="509" t="s">
        <v>537</v>
      </c>
      <c r="B138" s="510"/>
      <c r="C138" s="510"/>
      <c r="D138" s="510"/>
      <c r="E138" s="451"/>
      <c r="F138" s="451"/>
      <c r="G138" s="451"/>
      <c r="H138" s="451"/>
      <c r="I138" s="445"/>
      <c r="J138" s="445"/>
    </row>
    <row r="139" spans="1:16" x14ac:dyDescent="0.25">
      <c r="A139" s="447"/>
      <c r="B139" s="437"/>
      <c r="C139" s="437"/>
      <c r="D139" s="438"/>
      <c r="E139" s="439"/>
      <c r="F139" s="439"/>
      <c r="G139" s="440"/>
      <c r="H139" s="440"/>
      <c r="I139" s="440"/>
      <c r="J139" s="440"/>
    </row>
    <row r="140" spans="1:16" x14ac:dyDescent="0.25">
      <c r="A140" s="447"/>
      <c r="B140" s="437"/>
      <c r="C140" s="437"/>
      <c r="D140" s="438"/>
      <c r="E140" s="439"/>
      <c r="F140" s="439"/>
      <c r="G140" s="440"/>
      <c r="H140" s="440"/>
      <c r="I140" s="440"/>
      <c r="J140" s="440"/>
    </row>
    <row r="141" spans="1:16" ht="12.75" customHeight="1" x14ac:dyDescent="0.25">
      <c r="A141" s="447"/>
      <c r="B141" s="437"/>
      <c r="C141" s="437"/>
      <c r="D141" s="438"/>
      <c r="E141" s="439"/>
      <c r="F141" s="439"/>
      <c r="G141" s="440"/>
      <c r="H141" s="440"/>
      <c r="I141" s="440"/>
      <c r="J141" s="440"/>
      <c r="P141" s="221"/>
    </row>
    <row r="142" spans="1:16" x14ac:dyDescent="0.25">
      <c r="A142" s="478" t="s">
        <v>534</v>
      </c>
      <c r="B142" s="478"/>
      <c r="C142" s="478"/>
      <c r="D142" s="478"/>
      <c r="E142" s="444">
        <f>SUM(E132:E141)</f>
        <v>113739</v>
      </c>
      <c r="F142" s="444"/>
      <c r="G142" s="444">
        <f>SUM(G132:G141)</f>
        <v>0</v>
      </c>
      <c r="H142" s="444"/>
      <c r="I142" s="444">
        <f>SUM(I132:I141)</f>
        <v>0</v>
      </c>
      <c r="J142" s="444"/>
      <c r="L142" s="131"/>
    </row>
    <row r="143" spans="1:16" ht="14.25" customHeight="1" x14ac:dyDescent="0.25">
      <c r="A143" s="494" t="s">
        <v>861</v>
      </c>
      <c r="B143" s="495"/>
      <c r="C143" s="495"/>
      <c r="D143" s="495"/>
      <c r="E143" s="495"/>
      <c r="F143" s="495"/>
      <c r="G143" s="495"/>
      <c r="H143" s="495"/>
      <c r="I143" s="495"/>
      <c r="J143" s="496"/>
      <c r="L143" s="131"/>
    </row>
    <row r="144" spans="1:16" ht="14.25" customHeight="1" x14ac:dyDescent="0.25">
      <c r="A144" s="497" t="s">
        <v>862</v>
      </c>
      <c r="B144" s="498"/>
      <c r="C144" s="498"/>
      <c r="D144" s="498"/>
      <c r="E144" s="498"/>
      <c r="F144" s="498"/>
      <c r="G144" s="498"/>
      <c r="H144" s="498"/>
      <c r="I144" s="498"/>
      <c r="J144" s="499"/>
      <c r="L144" s="131"/>
    </row>
    <row r="145" spans="1:12" ht="14.25" customHeight="1" x14ac:dyDescent="0.25">
      <c r="A145" s="497" t="s">
        <v>863</v>
      </c>
      <c r="B145" s="498"/>
      <c r="C145" s="498"/>
      <c r="D145" s="498"/>
      <c r="E145" s="498"/>
      <c r="F145" s="498"/>
      <c r="G145" s="498"/>
      <c r="H145" s="498"/>
      <c r="I145" s="498"/>
      <c r="J145" s="499"/>
      <c r="L145" s="131"/>
    </row>
    <row r="146" spans="1:12" ht="14.25" customHeight="1" x14ac:dyDescent="0.25">
      <c r="A146" s="500" t="s">
        <v>864</v>
      </c>
      <c r="B146" s="501"/>
      <c r="C146" s="501"/>
      <c r="D146" s="501"/>
      <c r="E146" s="501"/>
      <c r="F146" s="501"/>
      <c r="G146" s="501"/>
      <c r="H146" s="501"/>
      <c r="I146" s="501"/>
      <c r="J146" s="502"/>
      <c r="L146" s="131"/>
    </row>
    <row r="147" spans="1:12" ht="15" customHeight="1" x14ac:dyDescent="0.25">
      <c r="A147" s="305" t="s">
        <v>979</v>
      </c>
      <c r="B147" s="486"/>
      <c r="C147" s="486"/>
      <c r="D147" s="486"/>
      <c r="E147" s="486"/>
      <c r="F147" s="486"/>
      <c r="G147" s="486"/>
      <c r="H147" s="486"/>
      <c r="I147" s="486"/>
      <c r="J147" s="487"/>
      <c r="L147" s="131"/>
    </row>
    <row r="148" spans="1:12" ht="15" customHeight="1" x14ac:dyDescent="0.25">
      <c r="A148" s="488"/>
      <c r="B148" s="489"/>
      <c r="C148" s="489"/>
      <c r="D148" s="489"/>
      <c r="E148" s="489"/>
      <c r="F148" s="489"/>
      <c r="G148" s="489"/>
      <c r="H148" s="489"/>
      <c r="I148" s="489"/>
      <c r="J148" s="490"/>
    </row>
    <row r="149" spans="1:12" ht="15" customHeight="1" x14ac:dyDescent="0.25">
      <c r="A149" s="488"/>
      <c r="B149" s="489"/>
      <c r="C149" s="489"/>
      <c r="D149" s="489"/>
      <c r="E149" s="489"/>
      <c r="F149" s="489"/>
      <c r="G149" s="489"/>
      <c r="H149" s="489"/>
      <c r="I149" s="489"/>
      <c r="J149" s="490"/>
    </row>
    <row r="150" spans="1:12" ht="15" customHeight="1" x14ac:dyDescent="0.25">
      <c r="A150" s="488"/>
      <c r="B150" s="489"/>
      <c r="C150" s="489"/>
      <c r="D150" s="489"/>
      <c r="E150" s="489"/>
      <c r="F150" s="489"/>
      <c r="G150" s="489"/>
      <c r="H150" s="489"/>
      <c r="I150" s="489"/>
      <c r="J150" s="490"/>
    </row>
    <row r="151" spans="1:12" ht="15" customHeight="1" x14ac:dyDescent="0.25">
      <c r="A151" s="488"/>
      <c r="B151" s="489"/>
      <c r="C151" s="489"/>
      <c r="D151" s="489"/>
      <c r="E151" s="489"/>
      <c r="F151" s="489"/>
      <c r="G151" s="489"/>
      <c r="H151" s="489"/>
      <c r="I151" s="489"/>
      <c r="J151" s="490"/>
    </row>
    <row r="152" spans="1:12" ht="15" customHeight="1" x14ac:dyDescent="0.25">
      <c r="A152" s="488"/>
      <c r="B152" s="489"/>
      <c r="C152" s="489"/>
      <c r="D152" s="489"/>
      <c r="E152" s="489"/>
      <c r="F152" s="489"/>
      <c r="G152" s="489"/>
      <c r="H152" s="489"/>
      <c r="I152" s="489"/>
      <c r="J152" s="490"/>
    </row>
    <row r="153" spans="1:12" ht="15" customHeight="1" x14ac:dyDescent="0.25">
      <c r="A153" s="488"/>
      <c r="B153" s="489"/>
      <c r="C153" s="489"/>
      <c r="D153" s="489"/>
      <c r="E153" s="489"/>
      <c r="F153" s="489"/>
      <c r="G153" s="489"/>
      <c r="H153" s="489"/>
      <c r="I153" s="489"/>
      <c r="J153" s="490"/>
    </row>
    <row r="154" spans="1:12" ht="15" customHeight="1" x14ac:dyDescent="0.25">
      <c r="A154" s="488"/>
      <c r="B154" s="489"/>
      <c r="C154" s="489"/>
      <c r="D154" s="489"/>
      <c r="E154" s="489"/>
      <c r="F154" s="489"/>
      <c r="G154" s="489"/>
      <c r="H154" s="489"/>
      <c r="I154" s="489"/>
      <c r="J154" s="490"/>
    </row>
    <row r="155" spans="1:12" ht="15" customHeight="1" x14ac:dyDescent="0.25">
      <c r="A155" s="488"/>
      <c r="B155" s="489"/>
      <c r="C155" s="489"/>
      <c r="D155" s="489"/>
      <c r="E155" s="489"/>
      <c r="F155" s="489"/>
      <c r="G155" s="489"/>
      <c r="H155" s="489"/>
      <c r="I155" s="489"/>
      <c r="J155" s="490"/>
    </row>
    <row r="156" spans="1:12" ht="15" customHeight="1" x14ac:dyDescent="0.25">
      <c r="A156" s="488"/>
      <c r="B156" s="489"/>
      <c r="C156" s="489"/>
      <c r="D156" s="489"/>
      <c r="E156" s="489"/>
      <c r="F156" s="489"/>
      <c r="G156" s="489"/>
      <c r="H156" s="489"/>
      <c r="I156" s="489"/>
      <c r="J156" s="490"/>
    </row>
    <row r="157" spans="1:12" ht="15" customHeight="1" x14ac:dyDescent="0.25">
      <c r="A157" s="488"/>
      <c r="B157" s="489"/>
      <c r="C157" s="489"/>
      <c r="D157" s="489"/>
      <c r="E157" s="489"/>
      <c r="F157" s="489"/>
      <c r="G157" s="489"/>
      <c r="H157" s="489"/>
      <c r="I157" s="489"/>
      <c r="J157" s="490"/>
      <c r="L157" s="131"/>
    </row>
    <row r="158" spans="1:12" ht="15" customHeight="1" x14ac:dyDescent="0.25">
      <c r="A158" s="488"/>
      <c r="B158" s="489"/>
      <c r="C158" s="489"/>
      <c r="D158" s="489"/>
      <c r="E158" s="489"/>
      <c r="F158" s="489"/>
      <c r="G158" s="489"/>
      <c r="H158" s="489"/>
      <c r="I158" s="489"/>
      <c r="J158" s="490"/>
      <c r="L158" s="131"/>
    </row>
    <row r="159" spans="1:12" ht="15" customHeight="1" x14ac:dyDescent="0.25">
      <c r="A159" s="488"/>
      <c r="B159" s="489"/>
      <c r="C159" s="489"/>
      <c r="D159" s="489"/>
      <c r="E159" s="489"/>
      <c r="F159" s="489"/>
      <c r="G159" s="489"/>
      <c r="H159" s="489"/>
      <c r="I159" s="489"/>
      <c r="J159" s="490"/>
      <c r="L159" s="131"/>
    </row>
    <row r="160" spans="1:12" ht="15" customHeight="1" x14ac:dyDescent="0.25">
      <c r="A160" s="488"/>
      <c r="B160" s="489"/>
      <c r="C160" s="489"/>
      <c r="D160" s="489"/>
      <c r="E160" s="489"/>
      <c r="F160" s="489"/>
      <c r="G160" s="489"/>
      <c r="H160" s="489"/>
      <c r="I160" s="489"/>
      <c r="J160" s="490"/>
      <c r="L160" s="131"/>
    </row>
    <row r="161" spans="1:12" ht="15" customHeight="1" x14ac:dyDescent="0.25">
      <c r="A161" s="488"/>
      <c r="B161" s="489"/>
      <c r="C161" s="489"/>
      <c r="D161" s="489"/>
      <c r="E161" s="489"/>
      <c r="F161" s="489"/>
      <c r="G161" s="489"/>
      <c r="H161" s="489"/>
      <c r="I161" s="489"/>
      <c r="J161" s="490"/>
      <c r="L161" s="131"/>
    </row>
    <row r="162" spans="1:12" ht="15" customHeight="1" x14ac:dyDescent="0.25">
      <c r="A162" s="488"/>
      <c r="B162" s="489"/>
      <c r="C162" s="489"/>
      <c r="D162" s="489"/>
      <c r="E162" s="489"/>
      <c r="F162" s="489"/>
      <c r="G162" s="489"/>
      <c r="H162" s="489"/>
      <c r="I162" s="489"/>
      <c r="J162" s="490"/>
      <c r="L162" s="131"/>
    </row>
    <row r="163" spans="1:12" ht="15" customHeight="1" x14ac:dyDescent="0.25">
      <c r="A163" s="488"/>
      <c r="B163" s="489"/>
      <c r="C163" s="489"/>
      <c r="D163" s="489"/>
      <c r="E163" s="489"/>
      <c r="F163" s="489"/>
      <c r="G163" s="489"/>
      <c r="H163" s="489"/>
      <c r="I163" s="489"/>
      <c r="J163" s="490"/>
      <c r="L163" s="131"/>
    </row>
    <row r="164" spans="1:12" ht="15" customHeight="1" x14ac:dyDescent="0.25">
      <c r="A164" s="488"/>
      <c r="B164" s="489"/>
      <c r="C164" s="489"/>
      <c r="D164" s="489"/>
      <c r="E164" s="489"/>
      <c r="F164" s="489"/>
      <c r="G164" s="489"/>
      <c r="H164" s="489"/>
      <c r="I164" s="489"/>
      <c r="J164" s="490"/>
      <c r="L164" s="131"/>
    </row>
    <row r="165" spans="1:12" ht="15" customHeight="1" x14ac:dyDescent="0.25">
      <c r="A165" s="488"/>
      <c r="B165" s="489"/>
      <c r="C165" s="489"/>
      <c r="D165" s="489"/>
      <c r="E165" s="489"/>
      <c r="F165" s="489"/>
      <c r="G165" s="489"/>
      <c r="H165" s="489"/>
      <c r="I165" s="489"/>
      <c r="J165" s="490"/>
      <c r="L165" s="131"/>
    </row>
    <row r="166" spans="1:12" ht="15" customHeight="1" x14ac:dyDescent="0.25">
      <c r="A166" s="488"/>
      <c r="B166" s="489"/>
      <c r="C166" s="489"/>
      <c r="D166" s="489"/>
      <c r="E166" s="489"/>
      <c r="F166" s="489"/>
      <c r="G166" s="489"/>
      <c r="H166" s="489"/>
      <c r="I166" s="489"/>
      <c r="J166" s="490"/>
      <c r="L166" s="131"/>
    </row>
    <row r="167" spans="1:12" ht="15" customHeight="1" x14ac:dyDescent="0.25">
      <c r="A167" s="488"/>
      <c r="B167" s="489"/>
      <c r="C167" s="489"/>
      <c r="D167" s="489"/>
      <c r="E167" s="489"/>
      <c r="F167" s="489"/>
      <c r="G167" s="489"/>
      <c r="H167" s="489"/>
      <c r="I167" s="489"/>
      <c r="J167" s="490"/>
      <c r="L167" s="131"/>
    </row>
    <row r="168" spans="1:12" ht="15" customHeight="1" x14ac:dyDescent="0.25">
      <c r="A168" s="488"/>
      <c r="B168" s="489"/>
      <c r="C168" s="489"/>
      <c r="D168" s="489"/>
      <c r="E168" s="489"/>
      <c r="F168" s="489"/>
      <c r="G168" s="489"/>
      <c r="H168" s="489"/>
      <c r="I168" s="489"/>
      <c r="J168" s="490"/>
      <c r="L168" s="131"/>
    </row>
    <row r="169" spans="1:12" ht="15" customHeight="1" x14ac:dyDescent="0.25">
      <c r="A169" s="488"/>
      <c r="B169" s="489"/>
      <c r="C169" s="489"/>
      <c r="D169" s="489"/>
      <c r="E169" s="489"/>
      <c r="F169" s="489"/>
      <c r="G169" s="489"/>
      <c r="H169" s="489"/>
      <c r="I169" s="489"/>
      <c r="J169" s="490"/>
      <c r="L169" s="131"/>
    </row>
    <row r="170" spans="1:12" ht="15" customHeight="1" x14ac:dyDescent="0.25">
      <c r="A170" s="488"/>
      <c r="B170" s="489"/>
      <c r="C170" s="489"/>
      <c r="D170" s="489"/>
      <c r="E170" s="489"/>
      <c r="F170" s="489"/>
      <c r="G170" s="489"/>
      <c r="H170" s="489"/>
      <c r="I170" s="489"/>
      <c r="J170" s="490"/>
      <c r="K170" s="189"/>
      <c r="L170" s="189"/>
    </row>
    <row r="171" spans="1:12" ht="15" customHeight="1" x14ac:dyDescent="0.25">
      <c r="A171" s="488"/>
      <c r="B171" s="489"/>
      <c r="C171" s="489"/>
      <c r="D171" s="489"/>
      <c r="E171" s="489"/>
      <c r="F171" s="489"/>
      <c r="G171" s="489"/>
      <c r="H171" s="489"/>
      <c r="I171" s="489"/>
      <c r="J171" s="490"/>
    </row>
    <row r="172" spans="1:12" ht="15" customHeight="1" x14ac:dyDescent="0.25">
      <c r="A172" s="488"/>
      <c r="B172" s="489"/>
      <c r="C172" s="489"/>
      <c r="D172" s="489"/>
      <c r="E172" s="489"/>
      <c r="F172" s="489"/>
      <c r="G172" s="489"/>
      <c r="H172" s="489"/>
      <c r="I172" s="489"/>
      <c r="J172" s="490"/>
    </row>
    <row r="173" spans="1:12" ht="15" customHeight="1" x14ac:dyDescent="0.25">
      <c r="A173" s="488"/>
      <c r="B173" s="489"/>
      <c r="C173" s="489"/>
      <c r="D173" s="489"/>
      <c r="E173" s="489"/>
      <c r="F173" s="489"/>
      <c r="G173" s="489"/>
      <c r="H173" s="489"/>
      <c r="I173" s="489"/>
      <c r="J173" s="490"/>
    </row>
    <row r="174" spans="1:12" ht="15" customHeight="1" x14ac:dyDescent="0.25">
      <c r="A174" s="488"/>
      <c r="B174" s="489"/>
      <c r="C174" s="489"/>
      <c r="D174" s="489"/>
      <c r="E174" s="489"/>
      <c r="F174" s="489"/>
      <c r="G174" s="489"/>
      <c r="H174" s="489"/>
      <c r="I174" s="489"/>
      <c r="J174" s="490"/>
    </row>
    <row r="175" spans="1:12" ht="15" customHeight="1" x14ac:dyDescent="0.25">
      <c r="A175" s="488"/>
      <c r="B175" s="489"/>
      <c r="C175" s="489"/>
      <c r="D175" s="489"/>
      <c r="E175" s="489"/>
      <c r="F175" s="489"/>
      <c r="G175" s="489"/>
      <c r="H175" s="489"/>
      <c r="I175" s="489"/>
      <c r="J175" s="490"/>
    </row>
    <row r="176" spans="1:12" ht="15" customHeight="1" x14ac:dyDescent="0.25">
      <c r="A176" s="488"/>
      <c r="B176" s="489"/>
      <c r="C176" s="489"/>
      <c r="D176" s="489"/>
      <c r="E176" s="489"/>
      <c r="F176" s="489"/>
      <c r="G176" s="489"/>
      <c r="H176" s="489"/>
      <c r="I176" s="489"/>
      <c r="J176" s="490"/>
    </row>
    <row r="177" spans="1:20" x14ac:dyDescent="0.25">
      <c r="A177" s="488"/>
      <c r="B177" s="489"/>
      <c r="C177" s="489"/>
      <c r="D177" s="489"/>
      <c r="E177" s="489"/>
      <c r="F177" s="489"/>
      <c r="G177" s="489"/>
      <c r="H177" s="489"/>
      <c r="I177" s="489"/>
      <c r="J177" s="490"/>
      <c r="K177" s="222"/>
      <c r="L177" s="222"/>
      <c r="M177" s="222"/>
      <c r="N177" s="222"/>
      <c r="O177" s="222"/>
      <c r="P177" s="222"/>
      <c r="Q177" s="222"/>
      <c r="R177" s="222"/>
      <c r="S177" s="222"/>
      <c r="T177" s="158"/>
    </row>
    <row r="178" spans="1:20" ht="8.1" customHeight="1" x14ac:dyDescent="0.25">
      <c r="A178" s="491"/>
      <c r="B178" s="492"/>
      <c r="C178" s="492"/>
      <c r="D178" s="492"/>
      <c r="E178" s="492"/>
      <c r="F178" s="492"/>
      <c r="G178" s="492"/>
      <c r="H178" s="492"/>
      <c r="I178" s="492"/>
      <c r="J178" s="493"/>
    </row>
    <row r="179" spans="1:20" ht="13.8" x14ac:dyDescent="0.25">
      <c r="A179" s="466" t="s">
        <v>879</v>
      </c>
      <c r="B179" s="467"/>
      <c r="C179" s="467"/>
      <c r="D179" s="467"/>
      <c r="E179" s="467"/>
      <c r="F179" s="467"/>
      <c r="G179" s="467"/>
      <c r="H179" s="467"/>
      <c r="I179" s="467"/>
      <c r="J179" s="468"/>
    </row>
    <row r="180" spans="1:20" ht="12.75" customHeight="1" x14ac:dyDescent="0.25">
      <c r="A180" s="463" t="s">
        <v>854</v>
      </c>
      <c r="B180" s="464"/>
      <c r="C180" s="464"/>
      <c r="D180" s="465"/>
      <c r="E180" s="544" t="s">
        <v>957</v>
      </c>
      <c r="F180" s="545"/>
      <c r="G180" s="545"/>
      <c r="H180" s="545"/>
      <c r="I180" s="545"/>
      <c r="J180" s="546"/>
    </row>
    <row r="181" spans="1:20" ht="12.75" customHeight="1" x14ac:dyDescent="0.25">
      <c r="A181" s="503" t="s">
        <v>912</v>
      </c>
      <c r="B181" s="504"/>
      <c r="C181" s="504"/>
      <c r="D181" s="505"/>
      <c r="E181" s="547"/>
      <c r="F181" s="548"/>
      <c r="G181" s="548"/>
      <c r="H181" s="548"/>
      <c r="I181" s="548"/>
      <c r="J181" s="549"/>
    </row>
    <row r="182" spans="1:20" x14ac:dyDescent="0.25">
      <c r="A182" s="506" t="s">
        <v>913</v>
      </c>
      <c r="B182" s="507"/>
      <c r="C182" s="507"/>
      <c r="D182" s="507"/>
      <c r="E182" s="479" t="s">
        <v>510</v>
      </c>
      <c r="F182" s="480"/>
      <c r="G182" s="480"/>
      <c r="H182" s="480"/>
      <c r="I182" s="480"/>
      <c r="J182" s="481"/>
    </row>
    <row r="183" spans="1:20" s="158" customFormat="1" ht="27" customHeight="1" x14ac:dyDescent="0.25">
      <c r="A183" s="157"/>
      <c r="B183" s="230"/>
      <c r="C183" s="230"/>
      <c r="D183" s="230"/>
      <c r="E183" s="482" t="s">
        <v>535</v>
      </c>
      <c r="F183" s="483"/>
      <c r="G183" s="482" t="s">
        <v>533</v>
      </c>
      <c r="H183" s="483"/>
      <c r="I183" s="484" t="s">
        <v>849</v>
      </c>
      <c r="J183" s="485"/>
      <c r="K183" s="39"/>
      <c r="L183" s="39"/>
      <c r="M183" s="39"/>
      <c r="N183" s="39"/>
      <c r="O183" s="39"/>
      <c r="P183" s="39"/>
      <c r="Q183" s="39"/>
      <c r="R183" s="39"/>
      <c r="S183" s="39"/>
      <c r="T183"/>
    </row>
    <row r="184" spans="1:20" x14ac:dyDescent="0.25">
      <c r="A184" s="448" t="s">
        <v>527</v>
      </c>
      <c r="B184" s="449"/>
      <c r="C184" s="449"/>
      <c r="D184" s="450"/>
      <c r="E184" s="456"/>
      <c r="F184" s="456"/>
      <c r="G184" s="456"/>
      <c r="H184" s="456"/>
      <c r="I184" s="457"/>
      <c r="J184" s="457"/>
    </row>
    <row r="185" spans="1:20" x14ac:dyDescent="0.25">
      <c r="A185" s="452" t="s">
        <v>528</v>
      </c>
      <c r="B185" s="453"/>
      <c r="C185" s="453"/>
      <c r="D185" s="454"/>
      <c r="E185" s="460">
        <v>180902</v>
      </c>
      <c r="F185" s="460"/>
      <c r="G185" s="440"/>
      <c r="H185" s="440"/>
      <c r="I185" s="455"/>
      <c r="J185" s="455"/>
    </row>
    <row r="186" spans="1:20" x14ac:dyDescent="0.25">
      <c r="A186" s="448" t="s">
        <v>529</v>
      </c>
      <c r="B186" s="449"/>
      <c r="C186" s="449"/>
      <c r="D186" s="450"/>
      <c r="E186" s="456"/>
      <c r="F186" s="456"/>
      <c r="G186" s="456"/>
      <c r="H186" s="456"/>
      <c r="I186" s="457"/>
      <c r="J186" s="457"/>
    </row>
    <row r="187" spans="1:20" x14ac:dyDescent="0.25">
      <c r="A187" s="452" t="s">
        <v>530</v>
      </c>
      <c r="B187" s="453"/>
      <c r="C187" s="453"/>
      <c r="D187" s="454"/>
      <c r="E187" s="439"/>
      <c r="F187" s="439"/>
      <c r="G187" s="440"/>
      <c r="H187" s="440"/>
      <c r="I187" s="455"/>
      <c r="J187" s="455"/>
    </row>
    <row r="188" spans="1:20" x14ac:dyDescent="0.25">
      <c r="A188" s="448" t="s">
        <v>531</v>
      </c>
      <c r="B188" s="449"/>
      <c r="C188" s="449"/>
      <c r="D188" s="450"/>
      <c r="E188" s="456"/>
      <c r="F188" s="456"/>
      <c r="G188" s="456"/>
      <c r="H188" s="456"/>
      <c r="I188" s="457"/>
      <c r="J188" s="457"/>
    </row>
    <row r="189" spans="1:20" x14ac:dyDescent="0.25">
      <c r="A189" s="452" t="s">
        <v>532</v>
      </c>
      <c r="B189" s="453"/>
      <c r="C189" s="453"/>
      <c r="D189" s="454"/>
      <c r="E189" s="439"/>
      <c r="F189" s="439"/>
      <c r="G189" s="440"/>
      <c r="H189" s="440"/>
      <c r="I189" s="455"/>
      <c r="J189" s="455"/>
    </row>
    <row r="190" spans="1:20" x14ac:dyDescent="0.25">
      <c r="A190" s="448" t="s">
        <v>537</v>
      </c>
      <c r="B190" s="449"/>
      <c r="C190" s="449"/>
      <c r="D190" s="450"/>
      <c r="E190" s="451"/>
      <c r="F190" s="451"/>
      <c r="G190" s="451"/>
      <c r="H190" s="451"/>
      <c r="I190" s="445"/>
      <c r="J190" s="445"/>
    </row>
    <row r="191" spans="1:20" x14ac:dyDescent="0.25">
      <c r="A191" s="436"/>
      <c r="B191" s="437"/>
      <c r="C191" s="437"/>
      <c r="D191" s="438"/>
      <c r="E191" s="439"/>
      <c r="F191" s="439"/>
      <c r="G191" s="440"/>
      <c r="H191" s="440"/>
      <c r="I191" s="440"/>
      <c r="J191" s="440"/>
    </row>
    <row r="192" spans="1:20" x14ac:dyDescent="0.25">
      <c r="A192" s="436"/>
      <c r="B192" s="437"/>
      <c r="C192" s="437"/>
      <c r="D192" s="438"/>
      <c r="E192" s="439"/>
      <c r="F192" s="439"/>
      <c r="G192" s="440"/>
      <c r="H192" s="440"/>
      <c r="I192" s="440"/>
      <c r="J192" s="440"/>
    </row>
    <row r="193" spans="1:19" ht="12.75" customHeight="1" x14ac:dyDescent="0.25">
      <c r="A193" s="436"/>
      <c r="B193" s="437"/>
      <c r="C193" s="437"/>
      <c r="D193" s="438"/>
      <c r="E193" s="439"/>
      <c r="F193" s="439"/>
      <c r="G193" s="440"/>
      <c r="H193" s="440"/>
      <c r="I193" s="440"/>
      <c r="J193" s="440"/>
    </row>
    <row r="194" spans="1:19" x14ac:dyDescent="0.25">
      <c r="A194" s="441" t="s">
        <v>534</v>
      </c>
      <c r="B194" s="442"/>
      <c r="C194" s="442"/>
      <c r="D194" s="443"/>
      <c r="E194" s="444">
        <f>SUM(E184:E193)</f>
        <v>180902</v>
      </c>
      <c r="F194" s="444"/>
      <c r="G194" s="444">
        <f>SUM(G184:G193)</f>
        <v>0</v>
      </c>
      <c r="H194" s="444"/>
      <c r="I194" s="444">
        <f>SUM(I184:I193)</f>
        <v>0</v>
      </c>
      <c r="J194" s="444"/>
    </row>
    <row r="195" spans="1:19" s="1" customFormat="1" ht="14.25" customHeight="1" x14ac:dyDescent="0.25">
      <c r="A195" s="494" t="s">
        <v>861</v>
      </c>
      <c r="B195" s="495"/>
      <c r="C195" s="495"/>
      <c r="D195" s="495"/>
      <c r="E195" s="495"/>
      <c r="F195" s="495"/>
      <c r="G195" s="495"/>
      <c r="H195" s="495"/>
      <c r="I195" s="495"/>
      <c r="J195" s="496"/>
      <c r="K195" s="211"/>
      <c r="L195" s="211"/>
      <c r="M195" s="211"/>
      <c r="N195" s="211"/>
      <c r="O195" s="211"/>
      <c r="P195" s="211"/>
      <c r="Q195" s="211"/>
      <c r="R195" s="211"/>
      <c r="S195" s="211"/>
    </row>
    <row r="196" spans="1:19" s="1" customFormat="1" ht="14.25" customHeight="1" x14ac:dyDescent="0.25">
      <c r="A196" s="497" t="s">
        <v>862</v>
      </c>
      <c r="B196" s="498"/>
      <c r="C196" s="498"/>
      <c r="D196" s="498"/>
      <c r="E196" s="498"/>
      <c r="F196" s="498"/>
      <c r="G196" s="498"/>
      <c r="H196" s="498"/>
      <c r="I196" s="498"/>
      <c r="J196" s="499"/>
      <c r="K196" s="211"/>
      <c r="L196" s="211"/>
      <c r="M196" s="211"/>
      <c r="N196" s="211"/>
      <c r="O196" s="211"/>
      <c r="P196" s="211"/>
      <c r="Q196" s="211"/>
      <c r="R196" s="211"/>
      <c r="S196" s="211"/>
    </row>
    <row r="197" spans="1:19" ht="14.25" customHeight="1" x14ac:dyDescent="0.25">
      <c r="A197" s="497" t="s">
        <v>863</v>
      </c>
      <c r="B197" s="498"/>
      <c r="C197" s="498"/>
      <c r="D197" s="498"/>
      <c r="E197" s="498"/>
      <c r="F197" s="498"/>
      <c r="G197" s="498"/>
      <c r="H197" s="498"/>
      <c r="I197" s="498"/>
      <c r="J197" s="499"/>
    </row>
    <row r="198" spans="1:19" ht="14.25" customHeight="1" x14ac:dyDescent="0.25">
      <c r="A198" s="500" t="s">
        <v>864</v>
      </c>
      <c r="B198" s="501"/>
      <c r="C198" s="501"/>
      <c r="D198" s="501"/>
      <c r="E198" s="501"/>
      <c r="F198" s="501"/>
      <c r="G198" s="501"/>
      <c r="H198" s="501"/>
      <c r="I198" s="501"/>
      <c r="J198" s="502"/>
    </row>
    <row r="199" spans="1:19" ht="15.75" customHeight="1" x14ac:dyDescent="0.25">
      <c r="A199" s="305" t="s">
        <v>980</v>
      </c>
      <c r="B199" s="486"/>
      <c r="C199" s="486"/>
      <c r="D199" s="486"/>
      <c r="E199" s="486"/>
      <c r="F199" s="486"/>
      <c r="G199" s="486"/>
      <c r="H199" s="486"/>
      <c r="I199" s="486"/>
      <c r="J199" s="487"/>
    </row>
    <row r="200" spans="1:19" ht="15" customHeight="1" x14ac:dyDescent="0.25">
      <c r="A200" s="488"/>
      <c r="B200" s="489"/>
      <c r="C200" s="489"/>
      <c r="D200" s="489"/>
      <c r="E200" s="489"/>
      <c r="F200" s="489"/>
      <c r="G200" s="489"/>
      <c r="H200" s="489"/>
      <c r="I200" s="489"/>
      <c r="J200" s="490"/>
    </row>
    <row r="201" spans="1:19" ht="15" customHeight="1" x14ac:dyDescent="0.25">
      <c r="A201" s="488"/>
      <c r="B201" s="489"/>
      <c r="C201" s="489"/>
      <c r="D201" s="489"/>
      <c r="E201" s="489"/>
      <c r="F201" s="489"/>
      <c r="G201" s="489"/>
      <c r="H201" s="489"/>
      <c r="I201" s="489"/>
      <c r="J201" s="490"/>
    </row>
    <row r="202" spans="1:19" ht="15" customHeight="1" x14ac:dyDescent="0.25">
      <c r="A202" s="488"/>
      <c r="B202" s="489"/>
      <c r="C202" s="489"/>
      <c r="D202" s="489"/>
      <c r="E202" s="489"/>
      <c r="F202" s="489"/>
      <c r="G202" s="489"/>
      <c r="H202" s="489"/>
      <c r="I202" s="489"/>
      <c r="J202" s="490"/>
    </row>
    <row r="203" spans="1:19" ht="15" customHeight="1" x14ac:dyDescent="0.25">
      <c r="A203" s="488"/>
      <c r="B203" s="489"/>
      <c r="C203" s="489"/>
      <c r="D203" s="489"/>
      <c r="E203" s="489"/>
      <c r="F203" s="489"/>
      <c r="G203" s="489"/>
      <c r="H203" s="489"/>
      <c r="I203" s="489"/>
      <c r="J203" s="490"/>
    </row>
    <row r="204" spans="1:19" ht="15" customHeight="1" x14ac:dyDescent="0.25">
      <c r="A204" s="488"/>
      <c r="B204" s="489"/>
      <c r="C204" s="489"/>
      <c r="D204" s="489"/>
      <c r="E204" s="489"/>
      <c r="F204" s="489"/>
      <c r="G204" s="489"/>
      <c r="H204" s="489"/>
      <c r="I204" s="489"/>
      <c r="J204" s="490"/>
    </row>
    <row r="205" spans="1:19" ht="15" customHeight="1" x14ac:dyDescent="0.25">
      <c r="A205" s="488"/>
      <c r="B205" s="489"/>
      <c r="C205" s="489"/>
      <c r="D205" s="489"/>
      <c r="E205" s="489"/>
      <c r="F205" s="489"/>
      <c r="G205" s="489"/>
      <c r="H205" s="489"/>
      <c r="I205" s="489"/>
      <c r="J205" s="490"/>
    </row>
    <row r="206" spans="1:19" ht="15" customHeight="1" x14ac:dyDescent="0.25">
      <c r="A206" s="488"/>
      <c r="B206" s="489"/>
      <c r="C206" s="489"/>
      <c r="D206" s="489"/>
      <c r="E206" s="489"/>
      <c r="F206" s="489"/>
      <c r="G206" s="489"/>
      <c r="H206" s="489"/>
      <c r="I206" s="489"/>
      <c r="J206" s="490"/>
    </row>
    <row r="207" spans="1:19" ht="15" customHeight="1" x14ac:dyDescent="0.25">
      <c r="A207" s="488"/>
      <c r="B207" s="489"/>
      <c r="C207" s="489"/>
      <c r="D207" s="489"/>
      <c r="E207" s="489"/>
      <c r="F207" s="489"/>
      <c r="G207" s="489"/>
      <c r="H207" s="489"/>
      <c r="I207" s="489"/>
      <c r="J207" s="490"/>
    </row>
    <row r="208" spans="1:19" ht="15" customHeight="1" x14ac:dyDescent="0.25">
      <c r="A208" s="488"/>
      <c r="B208" s="489"/>
      <c r="C208" s="489"/>
      <c r="D208" s="489"/>
      <c r="E208" s="489"/>
      <c r="F208" s="489"/>
      <c r="G208" s="489"/>
      <c r="H208" s="489"/>
      <c r="I208" s="489"/>
      <c r="J208" s="490"/>
    </row>
    <row r="209" spans="1:12" ht="15" customHeight="1" x14ac:dyDescent="0.25">
      <c r="A209" s="488"/>
      <c r="B209" s="489"/>
      <c r="C209" s="489"/>
      <c r="D209" s="489"/>
      <c r="E209" s="489"/>
      <c r="F209" s="489"/>
      <c r="G209" s="489"/>
      <c r="H209" s="489"/>
      <c r="I209" s="489"/>
      <c r="J209" s="490"/>
    </row>
    <row r="210" spans="1:12" ht="15" customHeight="1" x14ac:dyDescent="0.25">
      <c r="A210" s="488"/>
      <c r="B210" s="489"/>
      <c r="C210" s="489"/>
      <c r="D210" s="489"/>
      <c r="E210" s="489"/>
      <c r="F210" s="489"/>
      <c r="G210" s="489"/>
      <c r="H210" s="489"/>
      <c r="I210" s="489"/>
      <c r="J210" s="490"/>
    </row>
    <row r="211" spans="1:12" ht="15" customHeight="1" x14ac:dyDescent="0.25">
      <c r="A211" s="488"/>
      <c r="B211" s="489"/>
      <c r="C211" s="489"/>
      <c r="D211" s="489"/>
      <c r="E211" s="489"/>
      <c r="F211" s="489"/>
      <c r="G211" s="489"/>
      <c r="H211" s="489"/>
      <c r="I211" s="489"/>
      <c r="J211" s="490"/>
    </row>
    <row r="212" spans="1:12" ht="15" customHeight="1" x14ac:dyDescent="0.25">
      <c r="A212" s="488"/>
      <c r="B212" s="489"/>
      <c r="C212" s="489"/>
      <c r="D212" s="489"/>
      <c r="E212" s="489"/>
      <c r="F212" s="489"/>
      <c r="G212" s="489"/>
      <c r="H212" s="489"/>
      <c r="I212" s="489"/>
      <c r="J212" s="490"/>
    </row>
    <row r="213" spans="1:12" ht="15" customHeight="1" x14ac:dyDescent="0.25">
      <c r="A213" s="488"/>
      <c r="B213" s="489"/>
      <c r="C213" s="489"/>
      <c r="D213" s="489"/>
      <c r="E213" s="489"/>
      <c r="F213" s="489"/>
      <c r="G213" s="489"/>
      <c r="H213" s="489"/>
      <c r="I213" s="489"/>
      <c r="J213" s="490"/>
    </row>
    <row r="214" spans="1:12" ht="15" customHeight="1" x14ac:dyDescent="0.25">
      <c r="A214" s="488"/>
      <c r="B214" s="489"/>
      <c r="C214" s="489"/>
      <c r="D214" s="489"/>
      <c r="E214" s="489"/>
      <c r="F214" s="489"/>
      <c r="G214" s="489"/>
      <c r="H214" s="489"/>
      <c r="I214" s="489"/>
      <c r="J214" s="490"/>
    </row>
    <row r="215" spans="1:12" ht="15" customHeight="1" x14ac:dyDescent="0.25">
      <c r="A215" s="488"/>
      <c r="B215" s="489"/>
      <c r="C215" s="489"/>
      <c r="D215" s="489"/>
      <c r="E215" s="489"/>
      <c r="F215" s="489"/>
      <c r="G215" s="489"/>
      <c r="H215" s="489"/>
      <c r="I215" s="489"/>
      <c r="J215" s="490"/>
    </row>
    <row r="216" spans="1:12" ht="15" customHeight="1" x14ac:dyDescent="0.25">
      <c r="A216" s="488"/>
      <c r="B216" s="489"/>
      <c r="C216" s="489"/>
      <c r="D216" s="489"/>
      <c r="E216" s="489"/>
      <c r="F216" s="489"/>
      <c r="G216" s="489"/>
      <c r="H216" s="489"/>
      <c r="I216" s="489"/>
      <c r="J216" s="490"/>
    </row>
    <row r="217" spans="1:12" ht="15" customHeight="1" x14ac:dyDescent="0.25">
      <c r="A217" s="488"/>
      <c r="B217" s="489"/>
      <c r="C217" s="489"/>
      <c r="D217" s="489"/>
      <c r="E217" s="489"/>
      <c r="F217" s="489"/>
      <c r="G217" s="489"/>
      <c r="H217" s="489"/>
      <c r="I217" s="489"/>
      <c r="J217" s="490"/>
    </row>
    <row r="218" spans="1:12" ht="15" customHeight="1" x14ac:dyDescent="0.25">
      <c r="A218" s="488"/>
      <c r="B218" s="489"/>
      <c r="C218" s="489"/>
      <c r="D218" s="489"/>
      <c r="E218" s="489"/>
      <c r="F218" s="489"/>
      <c r="G218" s="489"/>
      <c r="H218" s="489"/>
      <c r="I218" s="489"/>
      <c r="J218" s="490"/>
    </row>
    <row r="219" spans="1:12" ht="15" customHeight="1" x14ac:dyDescent="0.25">
      <c r="A219" s="488"/>
      <c r="B219" s="489"/>
      <c r="C219" s="489"/>
      <c r="D219" s="489"/>
      <c r="E219" s="489"/>
      <c r="F219" s="489"/>
      <c r="G219" s="489"/>
      <c r="H219" s="489"/>
      <c r="I219" s="489"/>
      <c r="J219" s="490"/>
    </row>
    <row r="220" spans="1:12" ht="15" customHeight="1" x14ac:dyDescent="0.25">
      <c r="A220" s="488"/>
      <c r="B220" s="489"/>
      <c r="C220" s="489"/>
      <c r="D220" s="489"/>
      <c r="E220" s="489"/>
      <c r="F220" s="489"/>
      <c r="G220" s="489"/>
      <c r="H220" s="489"/>
      <c r="I220" s="489"/>
      <c r="J220" s="490"/>
    </row>
    <row r="221" spans="1:12" ht="15" customHeight="1" x14ac:dyDescent="0.25">
      <c r="A221" s="488"/>
      <c r="B221" s="489"/>
      <c r="C221" s="489"/>
      <c r="D221" s="489"/>
      <c r="E221" s="489"/>
      <c r="F221" s="489"/>
      <c r="G221" s="489"/>
      <c r="H221" s="489"/>
      <c r="I221" s="489"/>
      <c r="J221" s="490"/>
      <c r="K221" s="189"/>
      <c r="L221" s="189"/>
    </row>
    <row r="222" spans="1:12" ht="15" customHeight="1" x14ac:dyDescent="0.25">
      <c r="A222" s="488"/>
      <c r="B222" s="489"/>
      <c r="C222" s="489"/>
      <c r="D222" s="489"/>
      <c r="E222" s="489"/>
      <c r="F222" s="489"/>
      <c r="G222" s="489"/>
      <c r="H222" s="489"/>
      <c r="I222" s="489"/>
      <c r="J222" s="490"/>
    </row>
    <row r="223" spans="1:12" ht="15" customHeight="1" x14ac:dyDescent="0.25">
      <c r="A223" s="488"/>
      <c r="B223" s="489"/>
      <c r="C223" s="489"/>
      <c r="D223" s="489"/>
      <c r="E223" s="489"/>
      <c r="F223" s="489"/>
      <c r="G223" s="489"/>
      <c r="H223" s="489"/>
      <c r="I223" s="489"/>
      <c r="J223" s="490"/>
    </row>
    <row r="224" spans="1:12" ht="15" customHeight="1" x14ac:dyDescent="0.25">
      <c r="A224" s="488"/>
      <c r="B224" s="489"/>
      <c r="C224" s="489"/>
      <c r="D224" s="489"/>
      <c r="E224" s="489"/>
      <c r="F224" s="489"/>
      <c r="G224" s="489"/>
      <c r="H224" s="489"/>
      <c r="I224" s="489"/>
      <c r="J224" s="490"/>
    </row>
    <row r="225" spans="1:10" ht="15" customHeight="1" x14ac:dyDescent="0.25">
      <c r="A225" s="488"/>
      <c r="B225" s="489"/>
      <c r="C225" s="489"/>
      <c r="D225" s="489"/>
      <c r="E225" s="489"/>
      <c r="F225" s="489"/>
      <c r="G225" s="489"/>
      <c r="H225" s="489"/>
      <c r="I225" s="489"/>
      <c r="J225" s="490"/>
    </row>
    <row r="226" spans="1:10" ht="15" customHeight="1" x14ac:dyDescent="0.25">
      <c r="A226" s="488"/>
      <c r="B226" s="489"/>
      <c r="C226" s="489"/>
      <c r="D226" s="489"/>
      <c r="E226" s="489"/>
      <c r="F226" s="489"/>
      <c r="G226" s="489"/>
      <c r="H226" s="489"/>
      <c r="I226" s="489"/>
      <c r="J226" s="490"/>
    </row>
    <row r="227" spans="1:10" ht="15" customHeight="1" x14ac:dyDescent="0.25">
      <c r="A227" s="488"/>
      <c r="B227" s="489"/>
      <c r="C227" s="489"/>
      <c r="D227" s="489"/>
      <c r="E227" s="489"/>
      <c r="F227" s="489"/>
      <c r="G227" s="489"/>
      <c r="H227" s="489"/>
      <c r="I227" s="489"/>
      <c r="J227" s="490"/>
    </row>
    <row r="228" spans="1:10" ht="15" customHeight="1" x14ac:dyDescent="0.25">
      <c r="A228" s="488"/>
      <c r="B228" s="489"/>
      <c r="C228" s="489"/>
      <c r="D228" s="489"/>
      <c r="E228" s="489"/>
      <c r="F228" s="489"/>
      <c r="G228" s="489"/>
      <c r="H228" s="489"/>
      <c r="I228" s="489"/>
      <c r="J228" s="490"/>
    </row>
    <row r="229" spans="1:10" ht="15" customHeight="1" x14ac:dyDescent="0.25">
      <c r="A229" s="488"/>
      <c r="B229" s="489"/>
      <c r="C229" s="489"/>
      <c r="D229" s="489"/>
      <c r="E229" s="489"/>
      <c r="F229" s="489"/>
      <c r="G229" s="489"/>
      <c r="H229" s="489"/>
      <c r="I229" s="489"/>
      <c r="J229" s="490"/>
    </row>
    <row r="230" spans="1:10" x14ac:dyDescent="0.25">
      <c r="A230" s="488"/>
      <c r="B230" s="489"/>
      <c r="C230" s="489"/>
      <c r="D230" s="489"/>
      <c r="E230" s="489"/>
      <c r="F230" s="489"/>
      <c r="G230" s="489"/>
      <c r="H230" s="489"/>
      <c r="I230" s="489"/>
      <c r="J230" s="490"/>
    </row>
    <row r="231" spans="1:10" ht="8.1" customHeight="1" x14ac:dyDescent="0.25">
      <c r="A231" s="491"/>
      <c r="B231" s="492"/>
      <c r="C231" s="492"/>
      <c r="D231" s="492"/>
      <c r="E231" s="492"/>
      <c r="F231" s="492"/>
      <c r="G231" s="492"/>
      <c r="H231" s="492"/>
      <c r="I231" s="492"/>
      <c r="J231" s="493"/>
    </row>
    <row r="232" spans="1:10" ht="13.8" x14ac:dyDescent="0.25">
      <c r="A232" s="466" t="s">
        <v>880</v>
      </c>
      <c r="B232" s="467"/>
      <c r="C232" s="467"/>
      <c r="D232" s="467"/>
      <c r="E232" s="467"/>
      <c r="F232" s="467"/>
      <c r="G232" s="467"/>
      <c r="H232" s="467"/>
      <c r="I232" s="467"/>
      <c r="J232" s="468"/>
    </row>
    <row r="233" spans="1:10" ht="12.75" customHeight="1" x14ac:dyDescent="0.25">
      <c r="A233" s="463" t="s">
        <v>854</v>
      </c>
      <c r="B233" s="533"/>
      <c r="C233" s="533"/>
      <c r="D233" s="534"/>
      <c r="E233" s="544" t="s">
        <v>958</v>
      </c>
      <c r="F233" s="545"/>
      <c r="G233" s="545"/>
      <c r="H233" s="545"/>
      <c r="I233" s="545"/>
      <c r="J233" s="546"/>
    </row>
    <row r="234" spans="1:10" ht="12.75" customHeight="1" x14ac:dyDescent="0.25">
      <c r="A234" s="503" t="s">
        <v>912</v>
      </c>
      <c r="B234" s="504"/>
      <c r="C234" s="504"/>
      <c r="D234" s="505"/>
      <c r="E234" s="547"/>
      <c r="F234" s="548"/>
      <c r="G234" s="548"/>
      <c r="H234" s="548"/>
      <c r="I234" s="548"/>
      <c r="J234" s="549"/>
    </row>
    <row r="235" spans="1:10" x14ac:dyDescent="0.25">
      <c r="A235" s="535" t="s">
        <v>913</v>
      </c>
      <c r="B235" s="536"/>
      <c r="C235" s="536"/>
      <c r="D235" s="537"/>
      <c r="E235" s="479" t="s">
        <v>510</v>
      </c>
      <c r="F235" s="480"/>
      <c r="G235" s="480"/>
      <c r="H235" s="480"/>
      <c r="I235" s="480"/>
      <c r="J235" s="481"/>
    </row>
    <row r="236" spans="1:10" ht="27" customHeight="1" x14ac:dyDescent="0.25">
      <c r="A236" s="157"/>
      <c r="B236" s="230"/>
      <c r="C236" s="230"/>
      <c r="D236" s="230"/>
      <c r="E236" s="482" t="s">
        <v>535</v>
      </c>
      <c r="F236" s="483"/>
      <c r="G236" s="482" t="s">
        <v>533</v>
      </c>
      <c r="H236" s="483"/>
      <c r="I236" s="484" t="s">
        <v>849</v>
      </c>
      <c r="J236" s="485"/>
    </row>
    <row r="237" spans="1:10" x14ac:dyDescent="0.25">
      <c r="A237" s="448" t="s">
        <v>527</v>
      </c>
      <c r="B237" s="449"/>
      <c r="C237" s="449"/>
      <c r="D237" s="450"/>
      <c r="E237" s="456"/>
      <c r="F237" s="456"/>
      <c r="G237" s="456"/>
      <c r="H237" s="456"/>
      <c r="I237" s="457"/>
      <c r="J237" s="457"/>
    </row>
    <row r="238" spans="1:10" x14ac:dyDescent="0.25">
      <c r="A238" s="452" t="s">
        <v>528</v>
      </c>
      <c r="B238" s="453"/>
      <c r="C238" s="453"/>
      <c r="D238" s="454"/>
      <c r="E238" s="460">
        <v>16796</v>
      </c>
      <c r="F238" s="460"/>
      <c r="G238" s="440"/>
      <c r="H238" s="440"/>
      <c r="I238" s="455"/>
      <c r="J238" s="455"/>
    </row>
    <row r="239" spans="1:10" x14ac:dyDescent="0.25">
      <c r="A239" s="448" t="s">
        <v>529</v>
      </c>
      <c r="B239" s="449"/>
      <c r="C239" s="449"/>
      <c r="D239" s="450"/>
      <c r="E239" s="456"/>
      <c r="F239" s="456"/>
      <c r="G239" s="456"/>
      <c r="H239" s="456"/>
      <c r="I239" s="457"/>
      <c r="J239" s="457"/>
    </row>
    <row r="240" spans="1:10" x14ac:dyDescent="0.25">
      <c r="A240" s="452" t="s">
        <v>530</v>
      </c>
      <c r="B240" s="453"/>
      <c r="C240" s="453"/>
      <c r="D240" s="454"/>
      <c r="E240" s="439"/>
      <c r="F240" s="439"/>
      <c r="G240" s="440"/>
      <c r="H240" s="440"/>
      <c r="I240" s="455"/>
      <c r="J240" s="455"/>
    </row>
    <row r="241" spans="1:10" x14ac:dyDescent="0.25">
      <c r="A241" s="448" t="s">
        <v>531</v>
      </c>
      <c r="B241" s="449"/>
      <c r="C241" s="449"/>
      <c r="D241" s="450"/>
      <c r="E241" s="456"/>
      <c r="F241" s="456"/>
      <c r="G241" s="456"/>
      <c r="H241" s="456"/>
      <c r="I241" s="457"/>
      <c r="J241" s="457"/>
    </row>
    <row r="242" spans="1:10" x14ac:dyDescent="0.25">
      <c r="A242" s="452" t="s">
        <v>532</v>
      </c>
      <c r="B242" s="453"/>
      <c r="C242" s="453"/>
      <c r="D242" s="454"/>
      <c r="E242" s="439"/>
      <c r="F242" s="439"/>
      <c r="G242" s="440"/>
      <c r="H242" s="440"/>
      <c r="I242" s="455"/>
      <c r="J242" s="455"/>
    </row>
    <row r="243" spans="1:10" x14ac:dyDescent="0.25">
      <c r="A243" s="448" t="s">
        <v>537</v>
      </c>
      <c r="B243" s="449"/>
      <c r="C243" s="449"/>
      <c r="D243" s="450"/>
      <c r="E243" s="451"/>
      <c r="F243" s="451"/>
      <c r="G243" s="451"/>
      <c r="H243" s="451"/>
      <c r="I243" s="445"/>
      <c r="J243" s="445"/>
    </row>
    <row r="244" spans="1:10" x14ac:dyDescent="0.25">
      <c r="A244" s="436"/>
      <c r="B244" s="437"/>
      <c r="C244" s="437"/>
      <c r="D244" s="438"/>
      <c r="E244" s="439"/>
      <c r="F244" s="439"/>
      <c r="G244" s="440"/>
      <c r="H244" s="440"/>
      <c r="I244" s="440"/>
      <c r="J244" s="440"/>
    </row>
    <row r="245" spans="1:10" x14ac:dyDescent="0.25">
      <c r="A245" s="436"/>
      <c r="B245" s="437"/>
      <c r="C245" s="437"/>
      <c r="D245" s="438"/>
      <c r="E245" s="439"/>
      <c r="F245" s="439"/>
      <c r="G245" s="440"/>
      <c r="H245" s="440"/>
      <c r="I245" s="440"/>
      <c r="J245" s="440"/>
    </row>
    <row r="246" spans="1:10" x14ac:dyDescent="0.25">
      <c r="A246" s="436"/>
      <c r="B246" s="437"/>
      <c r="C246" s="437"/>
      <c r="D246" s="438"/>
      <c r="E246" s="439"/>
      <c r="F246" s="439"/>
      <c r="G246" s="440"/>
      <c r="H246" s="440"/>
      <c r="I246" s="440"/>
      <c r="J246" s="440"/>
    </row>
    <row r="247" spans="1:10" x14ac:dyDescent="0.25">
      <c r="A247" s="441" t="s">
        <v>534</v>
      </c>
      <c r="B247" s="442"/>
      <c r="C247" s="442"/>
      <c r="D247" s="443"/>
      <c r="E247" s="444">
        <f>SUM(E237:E246)</f>
        <v>16796</v>
      </c>
      <c r="F247" s="444"/>
      <c r="G247" s="444">
        <f>SUM(G237:G246)</f>
        <v>0</v>
      </c>
      <c r="H247" s="444"/>
      <c r="I247" s="444">
        <f>SUM(I237:I246)</f>
        <v>0</v>
      </c>
      <c r="J247" s="444"/>
    </row>
    <row r="248" spans="1:10" ht="12.75" customHeight="1" x14ac:dyDescent="0.25">
      <c r="A248" s="494" t="s">
        <v>861</v>
      </c>
      <c r="B248" s="495"/>
      <c r="C248" s="495"/>
      <c r="D248" s="495"/>
      <c r="E248" s="495"/>
      <c r="F248" s="495"/>
      <c r="G248" s="495"/>
      <c r="H248" s="495"/>
      <c r="I248" s="495"/>
      <c r="J248" s="496"/>
    </row>
    <row r="249" spans="1:10" ht="12.75" customHeight="1" x14ac:dyDescent="0.25">
      <c r="A249" s="497" t="s">
        <v>862</v>
      </c>
      <c r="B249" s="498"/>
      <c r="C249" s="498"/>
      <c r="D249" s="498"/>
      <c r="E249" s="498"/>
      <c r="F249" s="498"/>
      <c r="G249" s="498"/>
      <c r="H249" s="498"/>
      <c r="I249" s="498"/>
      <c r="J249" s="499"/>
    </row>
    <row r="250" spans="1:10" ht="12.75" customHeight="1" x14ac:dyDescent="0.25">
      <c r="A250" s="497" t="s">
        <v>863</v>
      </c>
      <c r="B250" s="498"/>
      <c r="C250" s="498"/>
      <c r="D250" s="498"/>
      <c r="E250" s="498"/>
      <c r="F250" s="498"/>
      <c r="G250" s="498"/>
      <c r="H250" s="498"/>
      <c r="I250" s="498"/>
      <c r="J250" s="499"/>
    </row>
    <row r="251" spans="1:10" ht="12.75" customHeight="1" x14ac:dyDescent="0.25">
      <c r="A251" s="500" t="s">
        <v>864</v>
      </c>
      <c r="B251" s="501"/>
      <c r="C251" s="501"/>
      <c r="D251" s="501"/>
      <c r="E251" s="501"/>
      <c r="F251" s="501"/>
      <c r="G251" s="501"/>
      <c r="H251" s="501"/>
      <c r="I251" s="501"/>
      <c r="J251" s="502"/>
    </row>
    <row r="252" spans="1:10" x14ac:dyDescent="0.25">
      <c r="A252" s="305" t="s">
        <v>981</v>
      </c>
      <c r="B252" s="486"/>
      <c r="C252" s="486"/>
      <c r="D252" s="486"/>
      <c r="E252" s="486"/>
      <c r="F252" s="486"/>
      <c r="G252" s="486"/>
      <c r="H252" s="486"/>
      <c r="I252" s="486"/>
      <c r="J252" s="487"/>
    </row>
    <row r="253" spans="1:10" x14ac:dyDescent="0.25">
      <c r="A253" s="488"/>
      <c r="B253" s="553"/>
      <c r="C253" s="553"/>
      <c r="D253" s="553"/>
      <c r="E253" s="553"/>
      <c r="F253" s="553"/>
      <c r="G253" s="553"/>
      <c r="H253" s="553"/>
      <c r="I253" s="553"/>
      <c r="J253" s="490"/>
    </row>
    <row r="254" spans="1:10" x14ac:dyDescent="0.25">
      <c r="A254" s="488"/>
      <c r="B254" s="553"/>
      <c r="C254" s="553"/>
      <c r="D254" s="553"/>
      <c r="E254" s="553"/>
      <c r="F254" s="553"/>
      <c r="G254" s="553"/>
      <c r="H254" s="553"/>
      <c r="I254" s="553"/>
      <c r="J254" s="490"/>
    </row>
    <row r="255" spans="1:10" x14ac:dyDescent="0.25">
      <c r="A255" s="488"/>
      <c r="B255" s="553"/>
      <c r="C255" s="553"/>
      <c r="D255" s="553"/>
      <c r="E255" s="553"/>
      <c r="F255" s="553"/>
      <c r="G255" s="553"/>
      <c r="H255" s="553"/>
      <c r="I255" s="553"/>
      <c r="J255" s="490"/>
    </row>
    <row r="256" spans="1:10" x14ac:dyDescent="0.25">
      <c r="A256" s="488"/>
      <c r="B256" s="553"/>
      <c r="C256" s="553"/>
      <c r="D256" s="553"/>
      <c r="E256" s="553"/>
      <c r="F256" s="553"/>
      <c r="G256" s="553"/>
      <c r="H256" s="553"/>
      <c r="I256" s="553"/>
      <c r="J256" s="490"/>
    </row>
    <row r="257" spans="1:10" x14ac:dyDescent="0.25">
      <c r="A257" s="488"/>
      <c r="B257" s="553"/>
      <c r="C257" s="553"/>
      <c r="D257" s="553"/>
      <c r="E257" s="553"/>
      <c r="F257" s="553"/>
      <c r="G257" s="553"/>
      <c r="H257" s="553"/>
      <c r="I257" s="553"/>
      <c r="J257" s="490"/>
    </row>
    <row r="258" spans="1:10" x14ac:dyDescent="0.25">
      <c r="A258" s="488"/>
      <c r="B258" s="553"/>
      <c r="C258" s="553"/>
      <c r="D258" s="553"/>
      <c r="E258" s="553"/>
      <c r="F258" s="553"/>
      <c r="G258" s="553"/>
      <c r="H258" s="553"/>
      <c r="I258" s="553"/>
      <c r="J258" s="490"/>
    </row>
    <row r="259" spans="1:10" x14ac:dyDescent="0.25">
      <c r="A259" s="488"/>
      <c r="B259" s="553"/>
      <c r="C259" s="553"/>
      <c r="D259" s="553"/>
      <c r="E259" s="553"/>
      <c r="F259" s="553"/>
      <c r="G259" s="553"/>
      <c r="H259" s="553"/>
      <c r="I259" s="553"/>
      <c r="J259" s="490"/>
    </row>
    <row r="260" spans="1:10" x14ac:dyDescent="0.25">
      <c r="A260" s="488"/>
      <c r="B260" s="553"/>
      <c r="C260" s="553"/>
      <c r="D260" s="553"/>
      <c r="E260" s="553"/>
      <c r="F260" s="553"/>
      <c r="G260" s="553"/>
      <c r="H260" s="553"/>
      <c r="I260" s="553"/>
      <c r="J260" s="490"/>
    </row>
    <row r="261" spans="1:10" x14ac:dyDescent="0.25">
      <c r="A261" s="488"/>
      <c r="B261" s="553"/>
      <c r="C261" s="553"/>
      <c r="D261" s="553"/>
      <c r="E261" s="553"/>
      <c r="F261" s="553"/>
      <c r="G261" s="553"/>
      <c r="H261" s="553"/>
      <c r="I261" s="553"/>
      <c r="J261" s="490"/>
    </row>
    <row r="262" spans="1:10" x14ac:dyDescent="0.25">
      <c r="A262" s="488"/>
      <c r="B262" s="553"/>
      <c r="C262" s="553"/>
      <c r="D262" s="553"/>
      <c r="E262" s="553"/>
      <c r="F262" s="553"/>
      <c r="G262" s="553"/>
      <c r="H262" s="553"/>
      <c r="I262" s="553"/>
      <c r="J262" s="490"/>
    </row>
    <row r="263" spans="1:10" x14ac:dyDescent="0.25">
      <c r="A263" s="488"/>
      <c r="B263" s="553"/>
      <c r="C263" s="553"/>
      <c r="D263" s="553"/>
      <c r="E263" s="553"/>
      <c r="F263" s="553"/>
      <c r="G263" s="553"/>
      <c r="H263" s="553"/>
      <c r="I263" s="553"/>
      <c r="J263" s="490"/>
    </row>
    <row r="264" spans="1:10" x14ac:dyDescent="0.25">
      <c r="A264" s="488"/>
      <c r="B264" s="553"/>
      <c r="C264" s="553"/>
      <c r="D264" s="553"/>
      <c r="E264" s="553"/>
      <c r="F264" s="553"/>
      <c r="G264" s="553"/>
      <c r="H264" s="553"/>
      <c r="I264" s="553"/>
      <c r="J264" s="490"/>
    </row>
    <row r="265" spans="1:10" x14ac:dyDescent="0.25">
      <c r="A265" s="488"/>
      <c r="B265" s="553"/>
      <c r="C265" s="553"/>
      <c r="D265" s="553"/>
      <c r="E265" s="553"/>
      <c r="F265" s="553"/>
      <c r="G265" s="553"/>
      <c r="H265" s="553"/>
      <c r="I265" s="553"/>
      <c r="J265" s="490"/>
    </row>
    <row r="266" spans="1:10" x14ac:dyDescent="0.25">
      <c r="A266" s="488"/>
      <c r="B266" s="553"/>
      <c r="C266" s="553"/>
      <c r="D266" s="553"/>
      <c r="E266" s="553"/>
      <c r="F266" s="553"/>
      <c r="G266" s="553"/>
      <c r="H266" s="553"/>
      <c r="I266" s="553"/>
      <c r="J266" s="490"/>
    </row>
    <row r="267" spans="1:10" x14ac:dyDescent="0.25">
      <c r="A267" s="488"/>
      <c r="B267" s="553"/>
      <c r="C267" s="553"/>
      <c r="D267" s="553"/>
      <c r="E267" s="553"/>
      <c r="F267" s="553"/>
      <c r="G267" s="553"/>
      <c r="H267" s="553"/>
      <c r="I267" s="553"/>
      <c r="J267" s="490"/>
    </row>
    <row r="268" spans="1:10" x14ac:dyDescent="0.25">
      <c r="A268" s="488"/>
      <c r="B268" s="553"/>
      <c r="C268" s="553"/>
      <c r="D268" s="553"/>
      <c r="E268" s="553"/>
      <c r="F268" s="553"/>
      <c r="G268" s="553"/>
      <c r="H268" s="553"/>
      <c r="I268" s="553"/>
      <c r="J268" s="490"/>
    </row>
    <row r="269" spans="1:10" x14ac:dyDescent="0.25">
      <c r="A269" s="488"/>
      <c r="B269" s="553"/>
      <c r="C269" s="553"/>
      <c r="D269" s="553"/>
      <c r="E269" s="553"/>
      <c r="F269" s="553"/>
      <c r="G269" s="553"/>
      <c r="H269" s="553"/>
      <c r="I269" s="553"/>
      <c r="J269" s="490"/>
    </row>
    <row r="270" spans="1:10" x14ac:dyDescent="0.25">
      <c r="A270" s="488"/>
      <c r="B270" s="553"/>
      <c r="C270" s="553"/>
      <c r="D270" s="553"/>
      <c r="E270" s="553"/>
      <c r="F270" s="553"/>
      <c r="G270" s="553"/>
      <c r="H270" s="553"/>
      <c r="I270" s="553"/>
      <c r="J270" s="490"/>
    </row>
    <row r="271" spans="1:10" x14ac:dyDescent="0.25">
      <c r="A271" s="488"/>
      <c r="B271" s="553"/>
      <c r="C271" s="553"/>
      <c r="D271" s="553"/>
      <c r="E271" s="553"/>
      <c r="F271" s="553"/>
      <c r="G271" s="553"/>
      <c r="H271" s="553"/>
      <c r="I271" s="553"/>
      <c r="J271" s="490"/>
    </row>
    <row r="272" spans="1:10" x14ac:dyDescent="0.25">
      <c r="A272" s="488"/>
      <c r="B272" s="553"/>
      <c r="C272" s="553"/>
      <c r="D272" s="553"/>
      <c r="E272" s="553"/>
      <c r="F272" s="553"/>
      <c r="G272" s="553"/>
      <c r="H272" s="553"/>
      <c r="I272" s="553"/>
      <c r="J272" s="490"/>
    </row>
    <row r="273" spans="1:10" x14ac:dyDescent="0.25">
      <c r="A273" s="488"/>
      <c r="B273" s="553"/>
      <c r="C273" s="553"/>
      <c r="D273" s="553"/>
      <c r="E273" s="553"/>
      <c r="F273" s="553"/>
      <c r="G273" s="553"/>
      <c r="H273" s="553"/>
      <c r="I273" s="553"/>
      <c r="J273" s="490"/>
    </row>
    <row r="274" spans="1:10" x14ac:dyDescent="0.25">
      <c r="A274" s="488"/>
      <c r="B274" s="553"/>
      <c r="C274" s="553"/>
      <c r="D274" s="553"/>
      <c r="E274" s="553"/>
      <c r="F274" s="553"/>
      <c r="G274" s="553"/>
      <c r="H274" s="553"/>
      <c r="I274" s="553"/>
      <c r="J274" s="490"/>
    </row>
    <row r="275" spans="1:10" x14ac:dyDescent="0.25">
      <c r="A275" s="488"/>
      <c r="B275" s="553"/>
      <c r="C275" s="553"/>
      <c r="D275" s="553"/>
      <c r="E275" s="553"/>
      <c r="F275" s="553"/>
      <c r="G275" s="553"/>
      <c r="H275" s="553"/>
      <c r="I275" s="553"/>
      <c r="J275" s="490"/>
    </row>
    <row r="276" spans="1:10" x14ac:dyDescent="0.25">
      <c r="A276" s="488"/>
      <c r="B276" s="553"/>
      <c r="C276" s="553"/>
      <c r="D276" s="553"/>
      <c r="E276" s="553"/>
      <c r="F276" s="553"/>
      <c r="G276" s="553"/>
      <c r="H276" s="553"/>
      <c r="I276" s="553"/>
      <c r="J276" s="490"/>
    </row>
    <row r="277" spans="1:10" x14ac:dyDescent="0.25">
      <c r="A277" s="488"/>
      <c r="B277" s="553"/>
      <c r="C277" s="553"/>
      <c r="D277" s="553"/>
      <c r="E277" s="553"/>
      <c r="F277" s="553"/>
      <c r="G277" s="553"/>
      <c r="H277" s="553"/>
      <c r="I277" s="553"/>
      <c r="J277" s="490"/>
    </row>
    <row r="278" spans="1:10" x14ac:dyDescent="0.25">
      <c r="A278" s="488"/>
      <c r="B278" s="553"/>
      <c r="C278" s="553"/>
      <c r="D278" s="553"/>
      <c r="E278" s="553"/>
      <c r="F278" s="553"/>
      <c r="G278" s="553"/>
      <c r="H278" s="553"/>
      <c r="I278" s="553"/>
      <c r="J278" s="490"/>
    </row>
    <row r="279" spans="1:10" x14ac:dyDescent="0.25">
      <c r="A279" s="488"/>
      <c r="B279" s="553"/>
      <c r="C279" s="553"/>
      <c r="D279" s="553"/>
      <c r="E279" s="553"/>
      <c r="F279" s="553"/>
      <c r="G279" s="553"/>
      <c r="H279" s="553"/>
      <c r="I279" s="553"/>
      <c r="J279" s="490"/>
    </row>
    <row r="280" spans="1:10" x14ac:dyDescent="0.25">
      <c r="A280" s="488"/>
      <c r="B280" s="553"/>
      <c r="C280" s="553"/>
      <c r="D280" s="553"/>
      <c r="E280" s="553"/>
      <c r="F280" s="553"/>
      <c r="G280" s="553"/>
      <c r="H280" s="553"/>
      <c r="I280" s="553"/>
      <c r="J280" s="490"/>
    </row>
    <row r="281" spans="1:10" x14ac:dyDescent="0.25">
      <c r="A281" s="488"/>
      <c r="B281" s="553"/>
      <c r="C281" s="553"/>
      <c r="D281" s="553"/>
      <c r="E281" s="553"/>
      <c r="F281" s="553"/>
      <c r="G281" s="553"/>
      <c r="H281" s="553"/>
      <c r="I281" s="553"/>
      <c r="J281" s="490"/>
    </row>
    <row r="282" spans="1:10" x14ac:dyDescent="0.25">
      <c r="A282" s="488"/>
      <c r="B282" s="553"/>
      <c r="C282" s="553"/>
      <c r="D282" s="553"/>
      <c r="E282" s="553"/>
      <c r="F282" s="553"/>
      <c r="G282" s="553"/>
      <c r="H282" s="553"/>
      <c r="I282" s="553"/>
      <c r="J282" s="490"/>
    </row>
    <row r="283" spans="1:10" x14ac:dyDescent="0.25">
      <c r="A283" s="488"/>
      <c r="B283" s="553"/>
      <c r="C283" s="553"/>
      <c r="D283" s="553"/>
      <c r="E283" s="553"/>
      <c r="F283" s="553"/>
      <c r="G283" s="553"/>
      <c r="H283" s="553"/>
      <c r="I283" s="553"/>
      <c r="J283" s="490"/>
    </row>
    <row r="284" spans="1:10" x14ac:dyDescent="0.25">
      <c r="A284" s="488"/>
      <c r="B284" s="553"/>
      <c r="C284" s="553"/>
      <c r="D284" s="553"/>
      <c r="E284" s="553"/>
      <c r="F284" s="553"/>
      <c r="G284" s="553"/>
      <c r="H284" s="553"/>
      <c r="I284" s="553"/>
      <c r="J284" s="490"/>
    </row>
    <row r="285" spans="1:10" x14ac:dyDescent="0.25">
      <c r="A285" s="491"/>
      <c r="B285" s="492"/>
      <c r="C285" s="492"/>
      <c r="D285" s="492"/>
      <c r="E285" s="492"/>
      <c r="F285" s="492"/>
      <c r="G285" s="492"/>
      <c r="H285" s="492"/>
      <c r="I285" s="492"/>
      <c r="J285" s="493"/>
    </row>
    <row r="288" spans="1:10" ht="15.6" x14ac:dyDescent="0.3">
      <c r="A288" s="355" t="s">
        <v>848</v>
      </c>
      <c r="B288" s="356"/>
      <c r="C288" s="356"/>
      <c r="D288" s="356"/>
      <c r="E288" s="356"/>
      <c r="F288" s="356"/>
      <c r="G288" s="356"/>
      <c r="H288" s="353" t="str">
        <f>'CONTACT INFORMATION'!$A$24</f>
        <v>Alameda</v>
      </c>
      <c r="I288" s="353"/>
      <c r="J288" s="354"/>
    </row>
    <row r="289" spans="1:10" ht="8.1" customHeight="1" x14ac:dyDescent="0.25">
      <c r="A289" s="163"/>
      <c r="B289" s="163"/>
      <c r="C289" s="163"/>
      <c r="D289" s="163"/>
      <c r="E289" s="163"/>
      <c r="F289" s="163"/>
      <c r="G289" s="163"/>
      <c r="H289" s="163"/>
      <c r="I289" s="163"/>
      <c r="J289" s="163"/>
    </row>
    <row r="290" spans="1:10" ht="13.8" x14ac:dyDescent="0.25">
      <c r="A290" s="466" t="s">
        <v>881</v>
      </c>
      <c r="B290" s="467"/>
      <c r="C290" s="467"/>
      <c r="D290" s="467"/>
      <c r="E290" s="467"/>
      <c r="F290" s="467"/>
      <c r="G290" s="467"/>
      <c r="H290" s="467"/>
      <c r="I290" s="467"/>
      <c r="J290" s="468"/>
    </row>
    <row r="291" spans="1:10" x14ac:dyDescent="0.25">
      <c r="A291" s="463" t="s">
        <v>854</v>
      </c>
      <c r="B291" s="464"/>
      <c r="C291" s="464"/>
      <c r="D291" s="465"/>
      <c r="E291" s="544" t="s">
        <v>959</v>
      </c>
      <c r="F291" s="545"/>
      <c r="G291" s="545"/>
      <c r="H291" s="545"/>
      <c r="I291" s="545"/>
      <c r="J291" s="546"/>
    </row>
    <row r="292" spans="1:10" x14ac:dyDescent="0.25">
      <c r="A292" s="503" t="s">
        <v>853</v>
      </c>
      <c r="B292" s="504"/>
      <c r="C292" s="504"/>
      <c r="D292" s="505"/>
      <c r="E292" s="547"/>
      <c r="F292" s="548"/>
      <c r="G292" s="548"/>
      <c r="H292" s="548"/>
      <c r="I292" s="548"/>
      <c r="J292" s="549"/>
    </row>
    <row r="293" spans="1:10" x14ac:dyDescent="0.25">
      <c r="A293" s="541" t="s">
        <v>808</v>
      </c>
      <c r="B293" s="542"/>
      <c r="C293" s="542"/>
      <c r="D293" s="543"/>
      <c r="E293" s="479" t="s">
        <v>507</v>
      </c>
      <c r="F293" s="480"/>
      <c r="G293" s="480"/>
      <c r="H293" s="480"/>
      <c r="I293" s="480"/>
      <c r="J293" s="481"/>
    </row>
    <row r="294" spans="1:10" ht="27" customHeight="1" x14ac:dyDescent="0.25">
      <c r="A294" s="157"/>
      <c r="B294" s="230"/>
      <c r="C294" s="230"/>
      <c r="D294" s="230"/>
      <c r="E294" s="482" t="s">
        <v>535</v>
      </c>
      <c r="F294" s="483"/>
      <c r="G294" s="482" t="s">
        <v>533</v>
      </c>
      <c r="H294" s="483"/>
      <c r="I294" s="484" t="s">
        <v>849</v>
      </c>
      <c r="J294" s="485"/>
    </row>
    <row r="295" spans="1:10" x14ac:dyDescent="0.25">
      <c r="A295" s="448" t="s">
        <v>527</v>
      </c>
      <c r="B295" s="449"/>
      <c r="C295" s="449"/>
      <c r="D295" s="450"/>
      <c r="E295" s="456"/>
      <c r="F295" s="456"/>
      <c r="G295" s="456"/>
      <c r="H295" s="456"/>
      <c r="I295" s="457"/>
      <c r="J295" s="457"/>
    </row>
    <row r="296" spans="1:10" x14ac:dyDescent="0.25">
      <c r="A296" s="452" t="s">
        <v>528</v>
      </c>
      <c r="B296" s="453"/>
      <c r="C296" s="453"/>
      <c r="D296" s="454"/>
      <c r="E296" s="460"/>
      <c r="F296" s="460"/>
      <c r="G296" s="440"/>
      <c r="H296" s="440"/>
      <c r="I296" s="455"/>
      <c r="J296" s="455"/>
    </row>
    <row r="297" spans="1:10" x14ac:dyDescent="0.25">
      <c r="A297" s="448" t="s">
        <v>529</v>
      </c>
      <c r="B297" s="449"/>
      <c r="C297" s="449"/>
      <c r="D297" s="450"/>
      <c r="E297" s="456"/>
      <c r="F297" s="456"/>
      <c r="G297" s="456"/>
      <c r="H297" s="456"/>
      <c r="I297" s="457"/>
      <c r="J297" s="457"/>
    </row>
    <row r="298" spans="1:10" x14ac:dyDescent="0.25">
      <c r="A298" s="452" t="s">
        <v>530</v>
      </c>
      <c r="B298" s="453"/>
      <c r="C298" s="453"/>
      <c r="D298" s="454"/>
      <c r="E298" s="439"/>
      <c r="F298" s="439"/>
      <c r="G298" s="440"/>
      <c r="H298" s="440"/>
      <c r="I298" s="455"/>
      <c r="J298" s="455"/>
    </row>
    <row r="299" spans="1:10" x14ac:dyDescent="0.25">
      <c r="A299" s="448" t="s">
        <v>531</v>
      </c>
      <c r="B299" s="449"/>
      <c r="C299" s="449"/>
      <c r="D299" s="450"/>
      <c r="E299" s="456"/>
      <c r="F299" s="456"/>
      <c r="G299" s="456"/>
      <c r="H299" s="456"/>
      <c r="I299" s="457"/>
      <c r="J299" s="457"/>
    </row>
    <row r="300" spans="1:10" x14ac:dyDescent="0.25">
      <c r="A300" s="452" t="s">
        <v>532</v>
      </c>
      <c r="B300" s="453"/>
      <c r="C300" s="453"/>
      <c r="D300" s="454"/>
      <c r="E300" s="439"/>
      <c r="F300" s="439"/>
      <c r="G300" s="440"/>
      <c r="H300" s="440"/>
      <c r="I300" s="455"/>
      <c r="J300" s="455"/>
    </row>
    <row r="301" spans="1:10" x14ac:dyDescent="0.25">
      <c r="A301" s="448" t="s">
        <v>537</v>
      </c>
      <c r="B301" s="449"/>
      <c r="C301" s="449"/>
      <c r="D301" s="450"/>
      <c r="E301" s="451"/>
      <c r="F301" s="451"/>
      <c r="G301" s="451"/>
      <c r="H301" s="451"/>
      <c r="I301" s="445"/>
      <c r="J301" s="445"/>
    </row>
    <row r="302" spans="1:10" x14ac:dyDescent="0.25">
      <c r="A302" s="436"/>
      <c r="B302" s="437"/>
      <c r="C302" s="437"/>
      <c r="D302" s="438"/>
      <c r="E302" s="439"/>
      <c r="F302" s="439"/>
      <c r="G302" s="440"/>
      <c r="H302" s="440"/>
      <c r="I302" s="440"/>
      <c r="J302" s="440"/>
    </row>
    <row r="303" spans="1:10" x14ac:dyDescent="0.25">
      <c r="A303" s="436"/>
      <c r="B303" s="437"/>
      <c r="C303" s="437"/>
      <c r="D303" s="438"/>
      <c r="E303" s="439"/>
      <c r="F303" s="439"/>
      <c r="G303" s="440"/>
      <c r="H303" s="440"/>
      <c r="I303" s="440"/>
      <c r="J303" s="440"/>
    </row>
    <row r="304" spans="1:10" x14ac:dyDescent="0.25">
      <c r="A304" s="436"/>
      <c r="B304" s="437"/>
      <c r="C304" s="437"/>
      <c r="D304" s="438"/>
      <c r="E304" s="439"/>
      <c r="F304" s="439"/>
      <c r="G304" s="440"/>
      <c r="H304" s="440"/>
      <c r="I304" s="440"/>
      <c r="J304" s="440"/>
    </row>
    <row r="305" spans="1:10" x14ac:dyDescent="0.25">
      <c r="A305" s="441" t="s">
        <v>534</v>
      </c>
      <c r="B305" s="442"/>
      <c r="C305" s="442"/>
      <c r="D305" s="443"/>
      <c r="E305" s="444">
        <f>SUM(E295:E304)</f>
        <v>0</v>
      </c>
      <c r="F305" s="444"/>
      <c r="G305" s="444">
        <f>SUM(G295:G304)</f>
        <v>0</v>
      </c>
      <c r="H305" s="444"/>
      <c r="I305" s="444">
        <f>SUM(I295:I304)</f>
        <v>0</v>
      </c>
      <c r="J305" s="444"/>
    </row>
    <row r="306" spans="1:10" x14ac:dyDescent="0.25">
      <c r="A306" s="494" t="s">
        <v>861</v>
      </c>
      <c r="B306" s="495"/>
      <c r="C306" s="495"/>
      <c r="D306" s="495"/>
      <c r="E306" s="495"/>
      <c r="F306" s="495"/>
      <c r="G306" s="495"/>
      <c r="H306" s="495"/>
      <c r="I306" s="495"/>
      <c r="J306" s="496"/>
    </row>
    <row r="307" spans="1:10" x14ac:dyDescent="0.25">
      <c r="A307" s="497" t="s">
        <v>862</v>
      </c>
      <c r="B307" s="498"/>
      <c r="C307" s="498"/>
      <c r="D307" s="498"/>
      <c r="E307" s="498"/>
      <c r="F307" s="498"/>
      <c r="G307" s="498"/>
      <c r="H307" s="498"/>
      <c r="I307" s="498"/>
      <c r="J307" s="499"/>
    </row>
    <row r="308" spans="1:10" x14ac:dyDescent="0.25">
      <c r="A308" s="497" t="s">
        <v>863</v>
      </c>
      <c r="B308" s="498"/>
      <c r="C308" s="498"/>
      <c r="D308" s="498"/>
      <c r="E308" s="498"/>
      <c r="F308" s="498"/>
      <c r="G308" s="498"/>
      <c r="H308" s="498"/>
      <c r="I308" s="498"/>
      <c r="J308" s="499"/>
    </row>
    <row r="309" spans="1:10" x14ac:dyDescent="0.25">
      <c r="A309" s="500" t="s">
        <v>864</v>
      </c>
      <c r="B309" s="501"/>
      <c r="C309" s="501"/>
      <c r="D309" s="501"/>
      <c r="E309" s="501"/>
      <c r="F309" s="501"/>
      <c r="G309" s="501"/>
      <c r="H309" s="501"/>
      <c r="I309" s="501"/>
      <c r="J309" s="502"/>
    </row>
    <row r="310" spans="1:10" x14ac:dyDescent="0.25">
      <c r="A310" s="305" t="s">
        <v>982</v>
      </c>
      <c r="B310" s="486"/>
      <c r="C310" s="486"/>
      <c r="D310" s="486"/>
      <c r="E310" s="486"/>
      <c r="F310" s="486"/>
      <c r="G310" s="486"/>
      <c r="H310" s="486"/>
      <c r="I310" s="486"/>
      <c r="J310" s="487"/>
    </row>
    <row r="311" spans="1:10" x14ac:dyDescent="0.25">
      <c r="A311" s="488"/>
      <c r="B311" s="553"/>
      <c r="C311" s="553"/>
      <c r="D311" s="553"/>
      <c r="E311" s="553"/>
      <c r="F311" s="553"/>
      <c r="G311" s="553"/>
      <c r="H311" s="553"/>
      <c r="I311" s="553"/>
      <c r="J311" s="490"/>
    </row>
    <row r="312" spans="1:10" x14ac:dyDescent="0.25">
      <c r="A312" s="488"/>
      <c r="B312" s="553"/>
      <c r="C312" s="553"/>
      <c r="D312" s="553"/>
      <c r="E312" s="553"/>
      <c r="F312" s="553"/>
      <c r="G312" s="553"/>
      <c r="H312" s="553"/>
      <c r="I312" s="553"/>
      <c r="J312" s="490"/>
    </row>
    <row r="313" spans="1:10" x14ac:dyDescent="0.25">
      <c r="A313" s="488"/>
      <c r="B313" s="553"/>
      <c r="C313" s="553"/>
      <c r="D313" s="553"/>
      <c r="E313" s="553"/>
      <c r="F313" s="553"/>
      <c r="G313" s="553"/>
      <c r="H313" s="553"/>
      <c r="I313" s="553"/>
      <c r="J313" s="490"/>
    </row>
    <row r="314" spans="1:10" x14ac:dyDescent="0.25">
      <c r="A314" s="488"/>
      <c r="B314" s="553"/>
      <c r="C314" s="553"/>
      <c r="D314" s="553"/>
      <c r="E314" s="553"/>
      <c r="F314" s="553"/>
      <c r="G314" s="553"/>
      <c r="H314" s="553"/>
      <c r="I314" s="553"/>
      <c r="J314" s="490"/>
    </row>
    <row r="315" spans="1:10" x14ac:dyDescent="0.25">
      <c r="A315" s="488"/>
      <c r="B315" s="553"/>
      <c r="C315" s="553"/>
      <c r="D315" s="553"/>
      <c r="E315" s="553"/>
      <c r="F315" s="553"/>
      <c r="G315" s="553"/>
      <c r="H315" s="553"/>
      <c r="I315" s="553"/>
      <c r="J315" s="490"/>
    </row>
    <row r="316" spans="1:10" x14ac:dyDescent="0.25">
      <c r="A316" s="488"/>
      <c r="B316" s="553"/>
      <c r="C316" s="553"/>
      <c r="D316" s="553"/>
      <c r="E316" s="553"/>
      <c r="F316" s="553"/>
      <c r="G316" s="553"/>
      <c r="H316" s="553"/>
      <c r="I316" s="553"/>
      <c r="J316" s="490"/>
    </row>
    <row r="317" spans="1:10" x14ac:dyDescent="0.25">
      <c r="A317" s="488"/>
      <c r="B317" s="553"/>
      <c r="C317" s="553"/>
      <c r="D317" s="553"/>
      <c r="E317" s="553"/>
      <c r="F317" s="553"/>
      <c r="G317" s="553"/>
      <c r="H317" s="553"/>
      <c r="I317" s="553"/>
      <c r="J317" s="490"/>
    </row>
    <row r="318" spans="1:10" x14ac:dyDescent="0.25">
      <c r="A318" s="488"/>
      <c r="B318" s="553"/>
      <c r="C318" s="553"/>
      <c r="D318" s="553"/>
      <c r="E318" s="553"/>
      <c r="F318" s="553"/>
      <c r="G318" s="553"/>
      <c r="H318" s="553"/>
      <c r="I318" s="553"/>
      <c r="J318" s="490"/>
    </row>
    <row r="319" spans="1:10" x14ac:dyDescent="0.25">
      <c r="A319" s="488"/>
      <c r="B319" s="553"/>
      <c r="C319" s="553"/>
      <c r="D319" s="553"/>
      <c r="E319" s="553"/>
      <c r="F319" s="553"/>
      <c r="G319" s="553"/>
      <c r="H319" s="553"/>
      <c r="I319" s="553"/>
      <c r="J319" s="490"/>
    </row>
    <row r="320" spans="1:10" x14ac:dyDescent="0.25">
      <c r="A320" s="488"/>
      <c r="B320" s="553"/>
      <c r="C320" s="553"/>
      <c r="D320" s="553"/>
      <c r="E320" s="553"/>
      <c r="F320" s="553"/>
      <c r="G320" s="553"/>
      <c r="H320" s="553"/>
      <c r="I320" s="553"/>
      <c r="J320" s="490"/>
    </row>
    <row r="321" spans="1:10" x14ac:dyDescent="0.25">
      <c r="A321" s="488"/>
      <c r="B321" s="553"/>
      <c r="C321" s="553"/>
      <c r="D321" s="553"/>
      <c r="E321" s="553"/>
      <c r="F321" s="553"/>
      <c r="G321" s="553"/>
      <c r="H321" s="553"/>
      <c r="I321" s="553"/>
      <c r="J321" s="490"/>
    </row>
    <row r="322" spans="1:10" x14ac:dyDescent="0.25">
      <c r="A322" s="488"/>
      <c r="B322" s="553"/>
      <c r="C322" s="553"/>
      <c r="D322" s="553"/>
      <c r="E322" s="553"/>
      <c r="F322" s="553"/>
      <c r="G322" s="553"/>
      <c r="H322" s="553"/>
      <c r="I322" s="553"/>
      <c r="J322" s="490"/>
    </row>
    <row r="323" spans="1:10" x14ac:dyDescent="0.25">
      <c r="A323" s="488"/>
      <c r="B323" s="553"/>
      <c r="C323" s="553"/>
      <c r="D323" s="553"/>
      <c r="E323" s="553"/>
      <c r="F323" s="553"/>
      <c r="G323" s="553"/>
      <c r="H323" s="553"/>
      <c r="I323" s="553"/>
      <c r="J323" s="490"/>
    </row>
    <row r="324" spans="1:10" x14ac:dyDescent="0.25">
      <c r="A324" s="488"/>
      <c r="B324" s="553"/>
      <c r="C324" s="553"/>
      <c r="D324" s="553"/>
      <c r="E324" s="553"/>
      <c r="F324" s="553"/>
      <c r="G324" s="553"/>
      <c r="H324" s="553"/>
      <c r="I324" s="553"/>
      <c r="J324" s="490"/>
    </row>
    <row r="325" spans="1:10" x14ac:dyDescent="0.25">
      <c r="A325" s="488"/>
      <c r="B325" s="553"/>
      <c r="C325" s="553"/>
      <c r="D325" s="553"/>
      <c r="E325" s="553"/>
      <c r="F325" s="553"/>
      <c r="G325" s="553"/>
      <c r="H325" s="553"/>
      <c r="I325" s="553"/>
      <c r="J325" s="490"/>
    </row>
    <row r="326" spans="1:10" x14ac:dyDescent="0.25">
      <c r="A326" s="488"/>
      <c r="B326" s="553"/>
      <c r="C326" s="553"/>
      <c r="D326" s="553"/>
      <c r="E326" s="553"/>
      <c r="F326" s="553"/>
      <c r="G326" s="553"/>
      <c r="H326" s="553"/>
      <c r="I326" s="553"/>
      <c r="J326" s="490"/>
    </row>
    <row r="327" spans="1:10" x14ac:dyDescent="0.25">
      <c r="A327" s="488"/>
      <c r="B327" s="553"/>
      <c r="C327" s="553"/>
      <c r="D327" s="553"/>
      <c r="E327" s="553"/>
      <c r="F327" s="553"/>
      <c r="G327" s="553"/>
      <c r="H327" s="553"/>
      <c r="I327" s="553"/>
      <c r="J327" s="490"/>
    </row>
    <row r="328" spans="1:10" x14ac:dyDescent="0.25">
      <c r="A328" s="488"/>
      <c r="B328" s="553"/>
      <c r="C328" s="553"/>
      <c r="D328" s="553"/>
      <c r="E328" s="553"/>
      <c r="F328" s="553"/>
      <c r="G328" s="553"/>
      <c r="H328" s="553"/>
      <c r="I328" s="553"/>
      <c r="J328" s="490"/>
    </row>
    <row r="329" spans="1:10" x14ac:dyDescent="0.25">
      <c r="A329" s="488"/>
      <c r="B329" s="553"/>
      <c r="C329" s="553"/>
      <c r="D329" s="553"/>
      <c r="E329" s="553"/>
      <c r="F329" s="553"/>
      <c r="G329" s="553"/>
      <c r="H329" s="553"/>
      <c r="I329" s="553"/>
      <c r="J329" s="490"/>
    </row>
    <row r="330" spans="1:10" x14ac:dyDescent="0.25">
      <c r="A330" s="488"/>
      <c r="B330" s="553"/>
      <c r="C330" s="553"/>
      <c r="D330" s="553"/>
      <c r="E330" s="553"/>
      <c r="F330" s="553"/>
      <c r="G330" s="553"/>
      <c r="H330" s="553"/>
      <c r="I330" s="553"/>
      <c r="J330" s="490"/>
    </row>
    <row r="331" spans="1:10" x14ac:dyDescent="0.25">
      <c r="A331" s="488"/>
      <c r="B331" s="553"/>
      <c r="C331" s="553"/>
      <c r="D331" s="553"/>
      <c r="E331" s="553"/>
      <c r="F331" s="553"/>
      <c r="G331" s="553"/>
      <c r="H331" s="553"/>
      <c r="I331" s="553"/>
      <c r="J331" s="490"/>
    </row>
    <row r="332" spans="1:10" x14ac:dyDescent="0.25">
      <c r="A332" s="488"/>
      <c r="B332" s="553"/>
      <c r="C332" s="553"/>
      <c r="D332" s="553"/>
      <c r="E332" s="553"/>
      <c r="F332" s="553"/>
      <c r="G332" s="553"/>
      <c r="H332" s="553"/>
      <c r="I332" s="553"/>
      <c r="J332" s="490"/>
    </row>
    <row r="333" spans="1:10" x14ac:dyDescent="0.25">
      <c r="A333" s="488"/>
      <c r="B333" s="553"/>
      <c r="C333" s="553"/>
      <c r="D333" s="553"/>
      <c r="E333" s="553"/>
      <c r="F333" s="553"/>
      <c r="G333" s="553"/>
      <c r="H333" s="553"/>
      <c r="I333" s="553"/>
      <c r="J333" s="490"/>
    </row>
    <row r="334" spans="1:10" x14ac:dyDescent="0.25">
      <c r="A334" s="488"/>
      <c r="B334" s="553"/>
      <c r="C334" s="553"/>
      <c r="D334" s="553"/>
      <c r="E334" s="553"/>
      <c r="F334" s="553"/>
      <c r="G334" s="553"/>
      <c r="H334" s="553"/>
      <c r="I334" s="553"/>
      <c r="J334" s="490"/>
    </row>
    <row r="335" spans="1:10" x14ac:dyDescent="0.25">
      <c r="A335" s="488"/>
      <c r="B335" s="553"/>
      <c r="C335" s="553"/>
      <c r="D335" s="553"/>
      <c r="E335" s="553"/>
      <c r="F335" s="553"/>
      <c r="G335" s="553"/>
      <c r="H335" s="553"/>
      <c r="I335" s="553"/>
      <c r="J335" s="490"/>
    </row>
    <row r="336" spans="1:10" x14ac:dyDescent="0.25">
      <c r="A336" s="488"/>
      <c r="B336" s="553"/>
      <c r="C336" s="553"/>
      <c r="D336" s="553"/>
      <c r="E336" s="553"/>
      <c r="F336" s="553"/>
      <c r="G336" s="553"/>
      <c r="H336" s="553"/>
      <c r="I336" s="553"/>
      <c r="J336" s="490"/>
    </row>
    <row r="337" spans="1:10" x14ac:dyDescent="0.25">
      <c r="A337" s="488"/>
      <c r="B337" s="553"/>
      <c r="C337" s="553"/>
      <c r="D337" s="553"/>
      <c r="E337" s="553"/>
      <c r="F337" s="553"/>
      <c r="G337" s="553"/>
      <c r="H337" s="553"/>
      <c r="I337" s="553"/>
      <c r="J337" s="490"/>
    </row>
    <row r="338" spans="1:10" x14ac:dyDescent="0.25">
      <c r="A338" s="488"/>
      <c r="B338" s="553"/>
      <c r="C338" s="553"/>
      <c r="D338" s="553"/>
      <c r="E338" s="553"/>
      <c r="F338" s="553"/>
      <c r="G338" s="553"/>
      <c r="H338" s="553"/>
      <c r="I338" s="553"/>
      <c r="J338" s="490"/>
    </row>
    <row r="339" spans="1:10" x14ac:dyDescent="0.25">
      <c r="A339" s="488"/>
      <c r="B339" s="553"/>
      <c r="C339" s="553"/>
      <c r="D339" s="553"/>
      <c r="E339" s="553"/>
      <c r="F339" s="553"/>
      <c r="G339" s="553"/>
      <c r="H339" s="553"/>
      <c r="I339" s="553"/>
      <c r="J339" s="490"/>
    </row>
    <row r="340" spans="1:10" x14ac:dyDescent="0.25">
      <c r="A340" s="488"/>
      <c r="B340" s="553"/>
      <c r="C340" s="553"/>
      <c r="D340" s="553"/>
      <c r="E340" s="553"/>
      <c r="F340" s="553"/>
      <c r="G340" s="553"/>
      <c r="H340" s="553"/>
      <c r="I340" s="553"/>
      <c r="J340" s="490"/>
    </row>
    <row r="341" spans="1:10" x14ac:dyDescent="0.25">
      <c r="A341" s="488"/>
      <c r="B341" s="553"/>
      <c r="C341" s="553"/>
      <c r="D341" s="553"/>
      <c r="E341" s="553"/>
      <c r="F341" s="553"/>
      <c r="G341" s="553"/>
      <c r="H341" s="553"/>
      <c r="I341" s="553"/>
      <c r="J341" s="490"/>
    </row>
    <row r="342" spans="1:10" x14ac:dyDescent="0.25">
      <c r="A342" s="488"/>
      <c r="B342" s="553"/>
      <c r="C342" s="553"/>
      <c r="D342" s="553"/>
      <c r="E342" s="553"/>
      <c r="F342" s="553"/>
      <c r="G342" s="553"/>
      <c r="H342" s="553"/>
      <c r="I342" s="553"/>
      <c r="J342" s="490"/>
    </row>
    <row r="343" spans="1:10" x14ac:dyDescent="0.25">
      <c r="A343" s="488"/>
      <c r="B343" s="553"/>
      <c r="C343" s="553"/>
      <c r="D343" s="553"/>
      <c r="E343" s="553"/>
      <c r="F343" s="553"/>
      <c r="G343" s="553"/>
      <c r="H343" s="553"/>
      <c r="I343" s="553"/>
      <c r="J343" s="490"/>
    </row>
    <row r="344" spans="1:10" x14ac:dyDescent="0.25">
      <c r="A344" s="491"/>
      <c r="B344" s="492"/>
      <c r="C344" s="492"/>
      <c r="D344" s="492"/>
      <c r="E344" s="492"/>
      <c r="F344" s="492"/>
      <c r="G344" s="492"/>
      <c r="H344" s="492"/>
      <c r="I344" s="492"/>
      <c r="J344" s="493"/>
    </row>
    <row r="346" spans="1:10" ht="15.6" x14ac:dyDescent="0.3">
      <c r="A346" s="355" t="s">
        <v>848</v>
      </c>
      <c r="B346" s="356"/>
      <c r="C346" s="356"/>
      <c r="D346" s="356"/>
      <c r="E346" s="356"/>
      <c r="F346" s="356"/>
      <c r="G346" s="356"/>
      <c r="H346" s="353" t="str">
        <f>'CONTACT INFORMATION'!$A$24</f>
        <v>Alameda</v>
      </c>
      <c r="I346" s="353"/>
      <c r="J346" s="354"/>
    </row>
    <row r="347" spans="1:10" ht="8.1" customHeight="1" x14ac:dyDescent="0.25">
      <c r="A347" s="163"/>
      <c r="B347" s="163"/>
      <c r="C347" s="163"/>
      <c r="D347" s="163"/>
      <c r="E347" s="163"/>
      <c r="F347" s="163"/>
      <c r="G347" s="163"/>
      <c r="H347" s="163"/>
      <c r="I347" s="163"/>
      <c r="J347" s="163"/>
    </row>
    <row r="348" spans="1:10" ht="13.8" x14ac:dyDescent="0.25">
      <c r="A348" s="466" t="s">
        <v>882</v>
      </c>
      <c r="B348" s="467"/>
      <c r="C348" s="467"/>
      <c r="D348" s="467"/>
      <c r="E348" s="467"/>
      <c r="F348" s="467"/>
      <c r="G348" s="467"/>
      <c r="H348" s="467"/>
      <c r="I348" s="467"/>
      <c r="J348" s="468"/>
    </row>
    <row r="349" spans="1:10" x14ac:dyDescent="0.25">
      <c r="A349" s="463" t="s">
        <v>854</v>
      </c>
      <c r="B349" s="464"/>
      <c r="C349" s="464"/>
      <c r="D349" s="465"/>
      <c r="E349" s="544" t="s">
        <v>960</v>
      </c>
      <c r="F349" s="545"/>
      <c r="G349" s="545"/>
      <c r="H349" s="545"/>
      <c r="I349" s="545"/>
      <c r="J349" s="546"/>
    </row>
    <row r="350" spans="1:10" x14ac:dyDescent="0.25">
      <c r="A350" s="503" t="s">
        <v>853</v>
      </c>
      <c r="B350" s="504"/>
      <c r="C350" s="504"/>
      <c r="D350" s="505"/>
      <c r="E350" s="547"/>
      <c r="F350" s="548"/>
      <c r="G350" s="548"/>
      <c r="H350" s="548"/>
      <c r="I350" s="548"/>
      <c r="J350" s="549"/>
    </row>
    <row r="351" spans="1:10" x14ac:dyDescent="0.25">
      <c r="A351" s="541" t="s">
        <v>808</v>
      </c>
      <c r="B351" s="542"/>
      <c r="C351" s="542"/>
      <c r="D351" s="543"/>
      <c r="E351" s="479" t="s">
        <v>507</v>
      </c>
      <c r="F351" s="480"/>
      <c r="G351" s="480"/>
      <c r="H351" s="480"/>
      <c r="I351" s="480"/>
      <c r="J351" s="481"/>
    </row>
    <row r="352" spans="1:10" ht="27" customHeight="1" x14ac:dyDescent="0.25">
      <c r="A352" s="157"/>
      <c r="B352" s="230"/>
      <c r="C352" s="230"/>
      <c r="D352" s="230"/>
      <c r="E352" s="482" t="s">
        <v>535</v>
      </c>
      <c r="F352" s="483"/>
      <c r="G352" s="482" t="s">
        <v>533</v>
      </c>
      <c r="H352" s="483"/>
      <c r="I352" s="484" t="s">
        <v>849</v>
      </c>
      <c r="J352" s="485"/>
    </row>
    <row r="353" spans="1:10" x14ac:dyDescent="0.25">
      <c r="A353" s="448" t="s">
        <v>527</v>
      </c>
      <c r="B353" s="449"/>
      <c r="C353" s="449"/>
      <c r="D353" s="450"/>
      <c r="E353" s="456"/>
      <c r="F353" s="456"/>
      <c r="G353" s="456"/>
      <c r="H353" s="456"/>
      <c r="I353" s="457"/>
      <c r="J353" s="457"/>
    </row>
    <row r="354" spans="1:10" x14ac:dyDescent="0.25">
      <c r="A354" s="452" t="s">
        <v>528</v>
      </c>
      <c r="B354" s="453"/>
      <c r="C354" s="453"/>
      <c r="D354" s="454"/>
      <c r="E354" s="460"/>
      <c r="F354" s="460"/>
      <c r="G354" s="440"/>
      <c r="H354" s="440"/>
      <c r="I354" s="455"/>
      <c r="J354" s="455"/>
    </row>
    <row r="355" spans="1:10" x14ac:dyDescent="0.25">
      <c r="A355" s="448" t="s">
        <v>529</v>
      </c>
      <c r="B355" s="449"/>
      <c r="C355" s="449"/>
      <c r="D355" s="450"/>
      <c r="E355" s="456"/>
      <c r="F355" s="456"/>
      <c r="G355" s="456"/>
      <c r="H355" s="456"/>
      <c r="I355" s="457"/>
      <c r="J355" s="457"/>
    </row>
    <row r="356" spans="1:10" x14ac:dyDescent="0.25">
      <c r="A356" s="452" t="s">
        <v>530</v>
      </c>
      <c r="B356" s="453"/>
      <c r="C356" s="453"/>
      <c r="D356" s="454"/>
      <c r="E356" s="439"/>
      <c r="F356" s="439"/>
      <c r="G356" s="440"/>
      <c r="H356" s="440"/>
      <c r="I356" s="455"/>
      <c r="J356" s="455"/>
    </row>
    <row r="357" spans="1:10" x14ac:dyDescent="0.25">
      <c r="A357" s="448" t="s">
        <v>531</v>
      </c>
      <c r="B357" s="449"/>
      <c r="C357" s="449"/>
      <c r="D357" s="450"/>
      <c r="E357" s="456"/>
      <c r="F357" s="456"/>
      <c r="G357" s="456"/>
      <c r="H357" s="456"/>
      <c r="I357" s="457"/>
      <c r="J357" s="457"/>
    </row>
    <row r="358" spans="1:10" x14ac:dyDescent="0.25">
      <c r="A358" s="452" t="s">
        <v>532</v>
      </c>
      <c r="B358" s="453"/>
      <c r="C358" s="453"/>
      <c r="D358" s="454"/>
      <c r="E358" s="439"/>
      <c r="F358" s="439"/>
      <c r="G358" s="440"/>
      <c r="H358" s="440"/>
      <c r="I358" s="455"/>
      <c r="J358" s="455"/>
    </row>
    <row r="359" spans="1:10" x14ac:dyDescent="0.25">
      <c r="A359" s="448" t="s">
        <v>537</v>
      </c>
      <c r="B359" s="449"/>
      <c r="C359" s="449"/>
      <c r="D359" s="450"/>
      <c r="E359" s="451"/>
      <c r="F359" s="451"/>
      <c r="G359" s="451"/>
      <c r="H359" s="451"/>
      <c r="I359" s="445"/>
      <c r="J359" s="445"/>
    </row>
    <row r="360" spans="1:10" x14ac:dyDescent="0.25">
      <c r="A360" s="436"/>
      <c r="B360" s="437"/>
      <c r="C360" s="437"/>
      <c r="D360" s="438"/>
      <c r="E360" s="439"/>
      <c r="F360" s="439"/>
      <c r="G360" s="440"/>
      <c r="H360" s="440"/>
      <c r="I360" s="440"/>
      <c r="J360" s="440"/>
    </row>
    <row r="361" spans="1:10" x14ac:dyDescent="0.25">
      <c r="A361" s="436"/>
      <c r="B361" s="437"/>
      <c r="C361" s="437"/>
      <c r="D361" s="438"/>
      <c r="E361" s="439"/>
      <c r="F361" s="439"/>
      <c r="G361" s="440"/>
      <c r="H361" s="440"/>
      <c r="I361" s="440"/>
      <c r="J361" s="440"/>
    </row>
    <row r="362" spans="1:10" x14ac:dyDescent="0.25">
      <c r="A362" s="436"/>
      <c r="B362" s="437"/>
      <c r="C362" s="437"/>
      <c r="D362" s="438"/>
      <c r="E362" s="439"/>
      <c r="F362" s="439"/>
      <c r="G362" s="440"/>
      <c r="H362" s="440"/>
      <c r="I362" s="440"/>
      <c r="J362" s="440"/>
    </row>
    <row r="363" spans="1:10" x14ac:dyDescent="0.25">
      <c r="A363" s="441" t="s">
        <v>534</v>
      </c>
      <c r="B363" s="442"/>
      <c r="C363" s="442"/>
      <c r="D363" s="443"/>
      <c r="E363" s="444">
        <f>SUM(E353:E362)</f>
        <v>0</v>
      </c>
      <c r="F363" s="444"/>
      <c r="G363" s="444">
        <f>SUM(G353:G362)</f>
        <v>0</v>
      </c>
      <c r="H363" s="444"/>
      <c r="I363" s="444">
        <f>SUM(I353:I362)</f>
        <v>0</v>
      </c>
      <c r="J363" s="444"/>
    </row>
    <row r="364" spans="1:10" x14ac:dyDescent="0.25">
      <c r="A364" s="494" t="s">
        <v>861</v>
      </c>
      <c r="B364" s="495"/>
      <c r="C364" s="495"/>
      <c r="D364" s="495"/>
      <c r="E364" s="495"/>
      <c r="F364" s="495"/>
      <c r="G364" s="495"/>
      <c r="H364" s="495"/>
      <c r="I364" s="495"/>
      <c r="J364" s="496"/>
    </row>
    <row r="365" spans="1:10" x14ac:dyDescent="0.25">
      <c r="A365" s="497" t="s">
        <v>862</v>
      </c>
      <c r="B365" s="498"/>
      <c r="C365" s="498"/>
      <c r="D365" s="498"/>
      <c r="E365" s="498"/>
      <c r="F365" s="498"/>
      <c r="G365" s="498"/>
      <c r="H365" s="498"/>
      <c r="I365" s="498"/>
      <c r="J365" s="499"/>
    </row>
    <row r="366" spans="1:10" x14ac:dyDescent="0.25">
      <c r="A366" s="497" t="s">
        <v>863</v>
      </c>
      <c r="B366" s="498"/>
      <c r="C366" s="498"/>
      <c r="D366" s="498"/>
      <c r="E366" s="498"/>
      <c r="F366" s="498"/>
      <c r="G366" s="498"/>
      <c r="H366" s="498"/>
      <c r="I366" s="498"/>
      <c r="J366" s="499"/>
    </row>
    <row r="367" spans="1:10" x14ac:dyDescent="0.25">
      <c r="A367" s="500" t="s">
        <v>864</v>
      </c>
      <c r="B367" s="501"/>
      <c r="C367" s="501"/>
      <c r="D367" s="501"/>
      <c r="E367" s="501"/>
      <c r="F367" s="501"/>
      <c r="G367" s="501"/>
      <c r="H367" s="501"/>
      <c r="I367" s="501"/>
      <c r="J367" s="502"/>
    </row>
    <row r="368" spans="1:10" ht="13.2" customHeight="1" x14ac:dyDescent="0.25">
      <c r="A368" s="305" t="s">
        <v>983</v>
      </c>
      <c r="B368" s="486"/>
      <c r="C368" s="486"/>
      <c r="D368" s="486"/>
      <c r="E368" s="486"/>
      <c r="F368" s="486"/>
      <c r="G368" s="486"/>
      <c r="H368" s="486"/>
      <c r="I368" s="486"/>
      <c r="J368" s="487"/>
    </row>
    <row r="369" spans="1:10" x14ac:dyDescent="0.25">
      <c r="A369" s="488"/>
      <c r="B369" s="553"/>
      <c r="C369" s="553"/>
      <c r="D369" s="553"/>
      <c r="E369" s="553"/>
      <c r="F369" s="553"/>
      <c r="G369" s="553"/>
      <c r="H369" s="553"/>
      <c r="I369" s="553"/>
      <c r="J369" s="490"/>
    </row>
    <row r="370" spans="1:10" x14ac:dyDescent="0.25">
      <c r="A370" s="488"/>
      <c r="B370" s="553"/>
      <c r="C370" s="553"/>
      <c r="D370" s="553"/>
      <c r="E370" s="553"/>
      <c r="F370" s="553"/>
      <c r="G370" s="553"/>
      <c r="H370" s="553"/>
      <c r="I370" s="553"/>
      <c r="J370" s="490"/>
    </row>
    <row r="371" spans="1:10" x14ac:dyDescent="0.25">
      <c r="A371" s="488"/>
      <c r="B371" s="553"/>
      <c r="C371" s="553"/>
      <c r="D371" s="553"/>
      <c r="E371" s="553"/>
      <c r="F371" s="553"/>
      <c r="G371" s="553"/>
      <c r="H371" s="553"/>
      <c r="I371" s="553"/>
      <c r="J371" s="490"/>
    </row>
    <row r="372" spans="1:10" x14ac:dyDescent="0.25">
      <c r="A372" s="488"/>
      <c r="B372" s="553"/>
      <c r="C372" s="553"/>
      <c r="D372" s="553"/>
      <c r="E372" s="553"/>
      <c r="F372" s="553"/>
      <c r="G372" s="553"/>
      <c r="H372" s="553"/>
      <c r="I372" s="553"/>
      <c r="J372" s="490"/>
    </row>
    <row r="373" spans="1:10" x14ac:dyDescent="0.25">
      <c r="A373" s="488"/>
      <c r="B373" s="553"/>
      <c r="C373" s="553"/>
      <c r="D373" s="553"/>
      <c r="E373" s="553"/>
      <c r="F373" s="553"/>
      <c r="G373" s="553"/>
      <c r="H373" s="553"/>
      <c r="I373" s="553"/>
      <c r="J373" s="490"/>
    </row>
    <row r="374" spans="1:10" x14ac:dyDescent="0.25">
      <c r="A374" s="488"/>
      <c r="B374" s="553"/>
      <c r="C374" s="553"/>
      <c r="D374" s="553"/>
      <c r="E374" s="553"/>
      <c r="F374" s="553"/>
      <c r="G374" s="553"/>
      <c r="H374" s="553"/>
      <c r="I374" s="553"/>
      <c r="J374" s="490"/>
    </row>
    <row r="375" spans="1:10" x14ac:dyDescent="0.25">
      <c r="A375" s="488"/>
      <c r="B375" s="553"/>
      <c r="C375" s="553"/>
      <c r="D375" s="553"/>
      <c r="E375" s="553"/>
      <c r="F375" s="553"/>
      <c r="G375" s="553"/>
      <c r="H375" s="553"/>
      <c r="I375" s="553"/>
      <c r="J375" s="490"/>
    </row>
    <row r="376" spans="1:10" x14ac:dyDescent="0.25">
      <c r="A376" s="488"/>
      <c r="B376" s="553"/>
      <c r="C376" s="553"/>
      <c r="D376" s="553"/>
      <c r="E376" s="553"/>
      <c r="F376" s="553"/>
      <c r="G376" s="553"/>
      <c r="H376" s="553"/>
      <c r="I376" s="553"/>
      <c r="J376" s="490"/>
    </row>
    <row r="377" spans="1:10" x14ac:dyDescent="0.25">
      <c r="A377" s="488"/>
      <c r="B377" s="553"/>
      <c r="C377" s="553"/>
      <c r="D377" s="553"/>
      <c r="E377" s="553"/>
      <c r="F377" s="553"/>
      <c r="G377" s="553"/>
      <c r="H377" s="553"/>
      <c r="I377" s="553"/>
      <c r="J377" s="490"/>
    </row>
    <row r="378" spans="1:10" x14ac:dyDescent="0.25">
      <c r="A378" s="488"/>
      <c r="B378" s="553"/>
      <c r="C378" s="553"/>
      <c r="D378" s="553"/>
      <c r="E378" s="553"/>
      <c r="F378" s="553"/>
      <c r="G378" s="553"/>
      <c r="H378" s="553"/>
      <c r="I378" s="553"/>
      <c r="J378" s="490"/>
    </row>
    <row r="379" spans="1:10" x14ac:dyDescent="0.25">
      <c r="A379" s="488"/>
      <c r="B379" s="553"/>
      <c r="C379" s="553"/>
      <c r="D379" s="553"/>
      <c r="E379" s="553"/>
      <c r="F379" s="553"/>
      <c r="G379" s="553"/>
      <c r="H379" s="553"/>
      <c r="I379" s="553"/>
      <c r="J379" s="490"/>
    </row>
    <row r="380" spans="1:10" x14ac:dyDescent="0.25">
      <c r="A380" s="488"/>
      <c r="B380" s="553"/>
      <c r="C380" s="553"/>
      <c r="D380" s="553"/>
      <c r="E380" s="553"/>
      <c r="F380" s="553"/>
      <c r="G380" s="553"/>
      <c r="H380" s="553"/>
      <c r="I380" s="553"/>
      <c r="J380" s="490"/>
    </row>
    <row r="381" spans="1:10" x14ac:dyDescent="0.25">
      <c r="A381" s="488"/>
      <c r="B381" s="553"/>
      <c r="C381" s="553"/>
      <c r="D381" s="553"/>
      <c r="E381" s="553"/>
      <c r="F381" s="553"/>
      <c r="G381" s="553"/>
      <c r="H381" s="553"/>
      <c r="I381" s="553"/>
      <c r="J381" s="490"/>
    </row>
    <row r="382" spans="1:10" x14ac:dyDescent="0.25">
      <c r="A382" s="488"/>
      <c r="B382" s="553"/>
      <c r="C382" s="553"/>
      <c r="D382" s="553"/>
      <c r="E382" s="553"/>
      <c r="F382" s="553"/>
      <c r="G382" s="553"/>
      <c r="H382" s="553"/>
      <c r="I382" s="553"/>
      <c r="J382" s="490"/>
    </row>
    <row r="383" spans="1:10" x14ac:dyDescent="0.25">
      <c r="A383" s="488"/>
      <c r="B383" s="553"/>
      <c r="C383" s="553"/>
      <c r="D383" s="553"/>
      <c r="E383" s="553"/>
      <c r="F383" s="553"/>
      <c r="G383" s="553"/>
      <c r="H383" s="553"/>
      <c r="I383" s="553"/>
      <c r="J383" s="490"/>
    </row>
    <row r="384" spans="1:10" x14ac:dyDescent="0.25">
      <c r="A384" s="488"/>
      <c r="B384" s="553"/>
      <c r="C384" s="553"/>
      <c r="D384" s="553"/>
      <c r="E384" s="553"/>
      <c r="F384" s="553"/>
      <c r="G384" s="553"/>
      <c r="H384" s="553"/>
      <c r="I384" s="553"/>
      <c r="J384" s="490"/>
    </row>
    <row r="385" spans="1:10" x14ac:dyDescent="0.25">
      <c r="A385" s="488"/>
      <c r="B385" s="553"/>
      <c r="C385" s="553"/>
      <c r="D385" s="553"/>
      <c r="E385" s="553"/>
      <c r="F385" s="553"/>
      <c r="G385" s="553"/>
      <c r="H385" s="553"/>
      <c r="I385" s="553"/>
      <c r="J385" s="490"/>
    </row>
    <row r="386" spans="1:10" x14ac:dyDescent="0.25">
      <c r="A386" s="488"/>
      <c r="B386" s="553"/>
      <c r="C386" s="553"/>
      <c r="D386" s="553"/>
      <c r="E386" s="553"/>
      <c r="F386" s="553"/>
      <c r="G386" s="553"/>
      <c r="H386" s="553"/>
      <c r="I386" s="553"/>
      <c r="J386" s="490"/>
    </row>
    <row r="387" spans="1:10" x14ac:dyDescent="0.25">
      <c r="A387" s="488"/>
      <c r="B387" s="553"/>
      <c r="C387" s="553"/>
      <c r="D387" s="553"/>
      <c r="E387" s="553"/>
      <c r="F387" s="553"/>
      <c r="G387" s="553"/>
      <c r="H387" s="553"/>
      <c r="I387" s="553"/>
      <c r="J387" s="490"/>
    </row>
    <row r="388" spans="1:10" x14ac:dyDescent="0.25">
      <c r="A388" s="488"/>
      <c r="B388" s="553"/>
      <c r="C388" s="553"/>
      <c r="D388" s="553"/>
      <c r="E388" s="553"/>
      <c r="F388" s="553"/>
      <c r="G388" s="553"/>
      <c r="H388" s="553"/>
      <c r="I388" s="553"/>
      <c r="J388" s="490"/>
    </row>
    <row r="389" spans="1:10" x14ac:dyDescent="0.25">
      <c r="A389" s="488"/>
      <c r="B389" s="553"/>
      <c r="C389" s="553"/>
      <c r="D389" s="553"/>
      <c r="E389" s="553"/>
      <c r="F389" s="553"/>
      <c r="G389" s="553"/>
      <c r="H389" s="553"/>
      <c r="I389" s="553"/>
      <c r="J389" s="490"/>
    </row>
    <row r="390" spans="1:10" x14ac:dyDescent="0.25">
      <c r="A390" s="488"/>
      <c r="B390" s="553"/>
      <c r="C390" s="553"/>
      <c r="D390" s="553"/>
      <c r="E390" s="553"/>
      <c r="F390" s="553"/>
      <c r="G390" s="553"/>
      <c r="H390" s="553"/>
      <c r="I390" s="553"/>
      <c r="J390" s="490"/>
    </row>
    <row r="391" spans="1:10" x14ac:dyDescent="0.25">
      <c r="A391" s="488"/>
      <c r="B391" s="553"/>
      <c r="C391" s="553"/>
      <c r="D391" s="553"/>
      <c r="E391" s="553"/>
      <c r="F391" s="553"/>
      <c r="G391" s="553"/>
      <c r="H391" s="553"/>
      <c r="I391" s="553"/>
      <c r="J391" s="490"/>
    </row>
    <row r="392" spans="1:10" x14ac:dyDescent="0.25">
      <c r="A392" s="488"/>
      <c r="B392" s="553"/>
      <c r="C392" s="553"/>
      <c r="D392" s="553"/>
      <c r="E392" s="553"/>
      <c r="F392" s="553"/>
      <c r="G392" s="553"/>
      <c r="H392" s="553"/>
      <c r="I392" s="553"/>
      <c r="J392" s="490"/>
    </row>
    <row r="393" spans="1:10" x14ac:dyDescent="0.25">
      <c r="A393" s="488"/>
      <c r="B393" s="553"/>
      <c r="C393" s="553"/>
      <c r="D393" s="553"/>
      <c r="E393" s="553"/>
      <c r="F393" s="553"/>
      <c r="G393" s="553"/>
      <c r="H393" s="553"/>
      <c r="I393" s="553"/>
      <c r="J393" s="490"/>
    </row>
    <row r="394" spans="1:10" x14ac:dyDescent="0.25">
      <c r="A394" s="488"/>
      <c r="B394" s="553"/>
      <c r="C394" s="553"/>
      <c r="D394" s="553"/>
      <c r="E394" s="553"/>
      <c r="F394" s="553"/>
      <c r="G394" s="553"/>
      <c r="H394" s="553"/>
      <c r="I394" s="553"/>
      <c r="J394" s="490"/>
    </row>
    <row r="395" spans="1:10" x14ac:dyDescent="0.25">
      <c r="A395" s="488"/>
      <c r="B395" s="553"/>
      <c r="C395" s="553"/>
      <c r="D395" s="553"/>
      <c r="E395" s="553"/>
      <c r="F395" s="553"/>
      <c r="G395" s="553"/>
      <c r="H395" s="553"/>
      <c r="I395" s="553"/>
      <c r="J395" s="490"/>
    </row>
    <row r="396" spans="1:10" x14ac:dyDescent="0.25">
      <c r="A396" s="488"/>
      <c r="B396" s="553"/>
      <c r="C396" s="553"/>
      <c r="D396" s="553"/>
      <c r="E396" s="553"/>
      <c r="F396" s="553"/>
      <c r="G396" s="553"/>
      <c r="H396" s="553"/>
      <c r="I396" s="553"/>
      <c r="J396" s="490"/>
    </row>
    <row r="397" spans="1:10" x14ac:dyDescent="0.25">
      <c r="A397" s="488"/>
      <c r="B397" s="553"/>
      <c r="C397" s="553"/>
      <c r="D397" s="553"/>
      <c r="E397" s="553"/>
      <c r="F397" s="553"/>
      <c r="G397" s="553"/>
      <c r="H397" s="553"/>
      <c r="I397" s="553"/>
      <c r="J397" s="490"/>
    </row>
    <row r="398" spans="1:10" x14ac:dyDescent="0.25">
      <c r="A398" s="488"/>
      <c r="B398" s="553"/>
      <c r="C398" s="553"/>
      <c r="D398" s="553"/>
      <c r="E398" s="553"/>
      <c r="F398" s="553"/>
      <c r="G398" s="553"/>
      <c r="H398" s="553"/>
      <c r="I398" s="553"/>
      <c r="J398" s="490"/>
    </row>
    <row r="399" spans="1:10" x14ac:dyDescent="0.25">
      <c r="A399" s="488"/>
      <c r="B399" s="553"/>
      <c r="C399" s="553"/>
      <c r="D399" s="553"/>
      <c r="E399" s="553"/>
      <c r="F399" s="553"/>
      <c r="G399" s="553"/>
      <c r="H399" s="553"/>
      <c r="I399" s="553"/>
      <c r="J399" s="490"/>
    </row>
    <row r="400" spans="1:10" x14ac:dyDescent="0.25">
      <c r="A400" s="488"/>
      <c r="B400" s="553"/>
      <c r="C400" s="553"/>
      <c r="D400" s="553"/>
      <c r="E400" s="553"/>
      <c r="F400" s="553"/>
      <c r="G400" s="553"/>
      <c r="H400" s="553"/>
      <c r="I400" s="553"/>
      <c r="J400" s="490"/>
    </row>
    <row r="401" spans="1:10" x14ac:dyDescent="0.25">
      <c r="A401" s="488"/>
      <c r="B401" s="553"/>
      <c r="C401" s="553"/>
      <c r="D401" s="553"/>
      <c r="E401" s="553"/>
      <c r="F401" s="553"/>
      <c r="G401" s="553"/>
      <c r="H401" s="553"/>
      <c r="I401" s="553"/>
      <c r="J401" s="490"/>
    </row>
    <row r="402" spans="1:10" x14ac:dyDescent="0.25">
      <c r="A402" s="491"/>
      <c r="B402" s="492"/>
      <c r="C402" s="492"/>
      <c r="D402" s="492"/>
      <c r="E402" s="492"/>
      <c r="F402" s="492"/>
      <c r="G402" s="492"/>
      <c r="H402" s="492"/>
      <c r="I402" s="492"/>
      <c r="J402" s="493"/>
    </row>
    <row r="404" spans="1:10" ht="15.6" x14ac:dyDescent="0.3">
      <c r="A404" s="355" t="s">
        <v>848</v>
      </c>
      <c r="B404" s="356"/>
      <c r="C404" s="356"/>
      <c r="D404" s="356"/>
      <c r="E404" s="356"/>
      <c r="F404" s="356"/>
      <c r="G404" s="356"/>
      <c r="H404" s="353" t="str">
        <f>'CONTACT INFORMATION'!$A$24</f>
        <v>Alameda</v>
      </c>
      <c r="I404" s="353"/>
      <c r="J404" s="354"/>
    </row>
    <row r="405" spans="1:10" ht="8.1" customHeight="1" x14ac:dyDescent="0.25">
      <c r="A405" s="163"/>
      <c r="B405" s="163"/>
      <c r="C405" s="163"/>
      <c r="D405" s="163"/>
      <c r="E405" s="163"/>
      <c r="F405" s="163"/>
      <c r="G405" s="163"/>
      <c r="H405" s="163"/>
      <c r="I405" s="163"/>
      <c r="J405" s="163"/>
    </row>
    <row r="406" spans="1:10" ht="13.8" x14ac:dyDescent="0.25">
      <c r="A406" s="466" t="s">
        <v>902</v>
      </c>
      <c r="B406" s="467"/>
      <c r="C406" s="467"/>
      <c r="D406" s="467"/>
      <c r="E406" s="467"/>
      <c r="F406" s="467"/>
      <c r="G406" s="467"/>
      <c r="H406" s="467"/>
      <c r="I406" s="467"/>
      <c r="J406" s="468"/>
    </row>
    <row r="407" spans="1:10" x14ac:dyDescent="0.25">
      <c r="A407" s="463" t="s">
        <v>854</v>
      </c>
      <c r="B407" s="464"/>
      <c r="C407" s="464"/>
      <c r="D407" s="465"/>
      <c r="E407" s="544" t="s">
        <v>961</v>
      </c>
      <c r="F407" s="545"/>
      <c r="G407" s="545"/>
      <c r="H407" s="545"/>
      <c r="I407" s="545"/>
      <c r="J407" s="546"/>
    </row>
    <row r="408" spans="1:10" x14ac:dyDescent="0.25">
      <c r="A408" s="503" t="s">
        <v>853</v>
      </c>
      <c r="B408" s="504"/>
      <c r="C408" s="504"/>
      <c r="D408" s="505"/>
      <c r="E408" s="547"/>
      <c r="F408" s="548"/>
      <c r="G408" s="548"/>
      <c r="H408" s="548"/>
      <c r="I408" s="548"/>
      <c r="J408" s="549"/>
    </row>
    <row r="409" spans="1:10" x14ac:dyDescent="0.25">
      <c r="A409" s="541" t="s">
        <v>808</v>
      </c>
      <c r="B409" s="542"/>
      <c r="C409" s="542"/>
      <c r="D409" s="543"/>
      <c r="E409" s="479" t="s">
        <v>835</v>
      </c>
      <c r="F409" s="480"/>
      <c r="G409" s="480"/>
      <c r="H409" s="480"/>
      <c r="I409" s="480"/>
      <c r="J409" s="481"/>
    </row>
    <row r="410" spans="1:10" ht="27" customHeight="1" x14ac:dyDescent="0.25">
      <c r="A410" s="157"/>
      <c r="B410" s="230"/>
      <c r="C410" s="230"/>
      <c r="D410" s="230"/>
      <c r="E410" s="482" t="s">
        <v>535</v>
      </c>
      <c r="F410" s="483"/>
      <c r="G410" s="482" t="s">
        <v>533</v>
      </c>
      <c r="H410" s="483"/>
      <c r="I410" s="484" t="s">
        <v>849</v>
      </c>
      <c r="J410" s="485"/>
    </row>
    <row r="411" spans="1:10" x14ac:dyDescent="0.25">
      <c r="A411" s="448" t="s">
        <v>527</v>
      </c>
      <c r="B411" s="449"/>
      <c r="C411" s="449"/>
      <c r="D411" s="450"/>
      <c r="E411" s="456"/>
      <c r="F411" s="456"/>
      <c r="G411" s="456"/>
      <c r="H411" s="456"/>
      <c r="I411" s="457"/>
      <c r="J411" s="457"/>
    </row>
    <row r="412" spans="1:10" x14ac:dyDescent="0.25">
      <c r="A412" s="452" t="s">
        <v>528</v>
      </c>
      <c r="B412" s="453"/>
      <c r="C412" s="453"/>
      <c r="D412" s="454"/>
      <c r="E412" s="460"/>
      <c r="F412" s="460"/>
      <c r="G412" s="440"/>
      <c r="H412" s="440"/>
      <c r="I412" s="455"/>
      <c r="J412" s="455"/>
    </row>
    <row r="413" spans="1:10" x14ac:dyDescent="0.25">
      <c r="A413" s="448" t="s">
        <v>529</v>
      </c>
      <c r="B413" s="449"/>
      <c r="C413" s="449"/>
      <c r="D413" s="450"/>
      <c r="E413" s="456"/>
      <c r="F413" s="456"/>
      <c r="G413" s="456"/>
      <c r="H413" s="456"/>
      <c r="I413" s="457"/>
      <c r="J413" s="457"/>
    </row>
    <row r="414" spans="1:10" x14ac:dyDescent="0.25">
      <c r="A414" s="452" t="s">
        <v>530</v>
      </c>
      <c r="B414" s="453"/>
      <c r="C414" s="453"/>
      <c r="D414" s="454"/>
      <c r="E414" s="439"/>
      <c r="F414" s="439"/>
      <c r="G414" s="440"/>
      <c r="H414" s="440"/>
      <c r="I414" s="455"/>
      <c r="J414" s="455"/>
    </row>
    <row r="415" spans="1:10" x14ac:dyDescent="0.25">
      <c r="A415" s="448" t="s">
        <v>531</v>
      </c>
      <c r="B415" s="449"/>
      <c r="C415" s="449"/>
      <c r="D415" s="450"/>
      <c r="E415" s="456"/>
      <c r="F415" s="456"/>
      <c r="G415" s="456"/>
      <c r="H415" s="456"/>
      <c r="I415" s="457"/>
      <c r="J415" s="457"/>
    </row>
    <row r="416" spans="1:10" x14ac:dyDescent="0.25">
      <c r="A416" s="452" t="s">
        <v>532</v>
      </c>
      <c r="B416" s="453"/>
      <c r="C416" s="453"/>
      <c r="D416" s="454"/>
      <c r="E416" s="439"/>
      <c r="F416" s="439"/>
      <c r="G416" s="440"/>
      <c r="H416" s="440"/>
      <c r="I416" s="455"/>
      <c r="J416" s="455"/>
    </row>
    <row r="417" spans="1:10" x14ac:dyDescent="0.25">
      <c r="A417" s="448" t="s">
        <v>537</v>
      </c>
      <c r="B417" s="449"/>
      <c r="C417" s="449"/>
      <c r="D417" s="450"/>
      <c r="E417" s="451"/>
      <c r="F417" s="451"/>
      <c r="G417" s="451"/>
      <c r="H417" s="451"/>
      <c r="I417" s="445"/>
      <c r="J417" s="445"/>
    </row>
    <row r="418" spans="1:10" x14ac:dyDescent="0.25">
      <c r="A418" s="436"/>
      <c r="B418" s="437"/>
      <c r="C418" s="437"/>
      <c r="D418" s="438"/>
      <c r="E418" s="439"/>
      <c r="F418" s="439"/>
      <c r="G418" s="440"/>
      <c r="H418" s="440"/>
      <c r="I418" s="440"/>
      <c r="J418" s="440"/>
    </row>
    <row r="419" spans="1:10" x14ac:dyDescent="0.25">
      <c r="A419" s="436"/>
      <c r="B419" s="437"/>
      <c r="C419" s="437"/>
      <c r="D419" s="438"/>
      <c r="E419" s="439"/>
      <c r="F419" s="439"/>
      <c r="G419" s="440"/>
      <c r="H419" s="440"/>
      <c r="I419" s="440"/>
      <c r="J419" s="440"/>
    </row>
    <row r="420" spans="1:10" x14ac:dyDescent="0.25">
      <c r="A420" s="436"/>
      <c r="B420" s="437"/>
      <c r="C420" s="437"/>
      <c r="D420" s="438"/>
      <c r="E420" s="439"/>
      <c r="F420" s="439"/>
      <c r="G420" s="440"/>
      <c r="H420" s="440"/>
      <c r="I420" s="440"/>
      <c r="J420" s="440"/>
    </row>
    <row r="421" spans="1:10" x14ac:dyDescent="0.25">
      <c r="A421" s="441" t="s">
        <v>534</v>
      </c>
      <c r="B421" s="442"/>
      <c r="C421" s="442"/>
      <c r="D421" s="443"/>
      <c r="E421" s="444">
        <f>SUM(E411:E420)</f>
        <v>0</v>
      </c>
      <c r="F421" s="444"/>
      <c r="G421" s="444">
        <f>SUM(G411:G420)</f>
        <v>0</v>
      </c>
      <c r="H421" s="444"/>
      <c r="I421" s="444">
        <f>SUM(I411:I420)</f>
        <v>0</v>
      </c>
      <c r="J421" s="444"/>
    </row>
    <row r="422" spans="1:10" x14ac:dyDescent="0.25">
      <c r="A422" s="494" t="s">
        <v>861</v>
      </c>
      <c r="B422" s="495"/>
      <c r="C422" s="495"/>
      <c r="D422" s="495"/>
      <c r="E422" s="495"/>
      <c r="F422" s="495"/>
      <c r="G422" s="495"/>
      <c r="H422" s="495"/>
      <c r="I422" s="495"/>
      <c r="J422" s="496"/>
    </row>
    <row r="423" spans="1:10" x14ac:dyDescent="0.25">
      <c r="A423" s="497" t="s">
        <v>862</v>
      </c>
      <c r="B423" s="498"/>
      <c r="C423" s="498"/>
      <c r="D423" s="498"/>
      <c r="E423" s="498"/>
      <c r="F423" s="498"/>
      <c r="G423" s="498"/>
      <c r="H423" s="498"/>
      <c r="I423" s="498"/>
      <c r="J423" s="499"/>
    </row>
    <row r="424" spans="1:10" x14ac:dyDescent="0.25">
      <c r="A424" s="497" t="s">
        <v>863</v>
      </c>
      <c r="B424" s="498"/>
      <c r="C424" s="498"/>
      <c r="D424" s="498"/>
      <c r="E424" s="498"/>
      <c r="F424" s="498"/>
      <c r="G424" s="498"/>
      <c r="H424" s="498"/>
      <c r="I424" s="498"/>
      <c r="J424" s="499"/>
    </row>
    <row r="425" spans="1:10" x14ac:dyDescent="0.25">
      <c r="A425" s="500" t="s">
        <v>864</v>
      </c>
      <c r="B425" s="501"/>
      <c r="C425" s="501"/>
      <c r="D425" s="501"/>
      <c r="E425" s="501"/>
      <c r="F425" s="501"/>
      <c r="G425" s="501"/>
      <c r="H425" s="501"/>
      <c r="I425" s="501"/>
      <c r="J425" s="502"/>
    </row>
    <row r="426" spans="1:10" ht="13.2" customHeight="1" x14ac:dyDescent="0.25">
      <c r="A426" s="305" t="s">
        <v>994</v>
      </c>
      <c r="B426" s="486"/>
      <c r="C426" s="486"/>
      <c r="D426" s="486"/>
      <c r="E426" s="486"/>
      <c r="F426" s="486"/>
      <c r="G426" s="486"/>
      <c r="H426" s="486"/>
      <c r="I426" s="486"/>
      <c r="J426" s="487"/>
    </row>
    <row r="427" spans="1:10" x14ac:dyDescent="0.25">
      <c r="A427" s="488"/>
      <c r="B427" s="553"/>
      <c r="C427" s="553"/>
      <c r="D427" s="553"/>
      <c r="E427" s="553"/>
      <c r="F427" s="553"/>
      <c r="G427" s="553"/>
      <c r="H427" s="553"/>
      <c r="I427" s="553"/>
      <c r="J427" s="490"/>
    </row>
    <row r="428" spans="1:10" x14ac:dyDescent="0.25">
      <c r="A428" s="488"/>
      <c r="B428" s="553"/>
      <c r="C428" s="553"/>
      <c r="D428" s="553"/>
      <c r="E428" s="553"/>
      <c r="F428" s="553"/>
      <c r="G428" s="553"/>
      <c r="H428" s="553"/>
      <c r="I428" s="553"/>
      <c r="J428" s="490"/>
    </row>
    <row r="429" spans="1:10" x14ac:dyDescent="0.25">
      <c r="A429" s="488"/>
      <c r="B429" s="553"/>
      <c r="C429" s="553"/>
      <c r="D429" s="553"/>
      <c r="E429" s="553"/>
      <c r="F429" s="553"/>
      <c r="G429" s="553"/>
      <c r="H429" s="553"/>
      <c r="I429" s="553"/>
      <c r="J429" s="490"/>
    </row>
    <row r="430" spans="1:10" x14ac:dyDescent="0.25">
      <c r="A430" s="488"/>
      <c r="B430" s="553"/>
      <c r="C430" s="553"/>
      <c r="D430" s="553"/>
      <c r="E430" s="553"/>
      <c r="F430" s="553"/>
      <c r="G430" s="553"/>
      <c r="H430" s="553"/>
      <c r="I430" s="553"/>
      <c r="J430" s="490"/>
    </row>
    <row r="431" spans="1:10" x14ac:dyDescent="0.25">
      <c r="A431" s="488"/>
      <c r="B431" s="553"/>
      <c r="C431" s="553"/>
      <c r="D431" s="553"/>
      <c r="E431" s="553"/>
      <c r="F431" s="553"/>
      <c r="G431" s="553"/>
      <c r="H431" s="553"/>
      <c r="I431" s="553"/>
      <c r="J431" s="490"/>
    </row>
    <row r="432" spans="1:10" x14ac:dyDescent="0.25">
      <c r="A432" s="488"/>
      <c r="B432" s="553"/>
      <c r="C432" s="553"/>
      <c r="D432" s="553"/>
      <c r="E432" s="553"/>
      <c r="F432" s="553"/>
      <c r="G432" s="553"/>
      <c r="H432" s="553"/>
      <c r="I432" s="553"/>
      <c r="J432" s="490"/>
    </row>
    <row r="433" spans="1:10" x14ac:dyDescent="0.25">
      <c r="A433" s="488"/>
      <c r="B433" s="553"/>
      <c r="C433" s="553"/>
      <c r="D433" s="553"/>
      <c r="E433" s="553"/>
      <c r="F433" s="553"/>
      <c r="G433" s="553"/>
      <c r="H433" s="553"/>
      <c r="I433" s="553"/>
      <c r="J433" s="490"/>
    </row>
    <row r="434" spans="1:10" x14ac:dyDescent="0.25">
      <c r="A434" s="488"/>
      <c r="B434" s="553"/>
      <c r="C434" s="553"/>
      <c r="D434" s="553"/>
      <c r="E434" s="553"/>
      <c r="F434" s="553"/>
      <c r="G434" s="553"/>
      <c r="H434" s="553"/>
      <c r="I434" s="553"/>
      <c r="J434" s="490"/>
    </row>
    <row r="435" spans="1:10" x14ac:dyDescent="0.25">
      <c r="A435" s="488"/>
      <c r="B435" s="553"/>
      <c r="C435" s="553"/>
      <c r="D435" s="553"/>
      <c r="E435" s="553"/>
      <c r="F435" s="553"/>
      <c r="G435" s="553"/>
      <c r="H435" s="553"/>
      <c r="I435" s="553"/>
      <c r="J435" s="490"/>
    </row>
    <row r="436" spans="1:10" x14ac:dyDescent="0.25">
      <c r="A436" s="488"/>
      <c r="B436" s="553"/>
      <c r="C436" s="553"/>
      <c r="D436" s="553"/>
      <c r="E436" s="553"/>
      <c r="F436" s="553"/>
      <c r="G436" s="553"/>
      <c r="H436" s="553"/>
      <c r="I436" s="553"/>
      <c r="J436" s="490"/>
    </row>
    <row r="437" spans="1:10" x14ac:dyDescent="0.25">
      <c r="A437" s="488"/>
      <c r="B437" s="553"/>
      <c r="C437" s="553"/>
      <c r="D437" s="553"/>
      <c r="E437" s="553"/>
      <c r="F437" s="553"/>
      <c r="G437" s="553"/>
      <c r="H437" s="553"/>
      <c r="I437" s="553"/>
      <c r="J437" s="490"/>
    </row>
    <row r="438" spans="1:10" x14ac:dyDescent="0.25">
      <c r="A438" s="488"/>
      <c r="B438" s="553"/>
      <c r="C438" s="553"/>
      <c r="D438" s="553"/>
      <c r="E438" s="553"/>
      <c r="F438" s="553"/>
      <c r="G438" s="553"/>
      <c r="H438" s="553"/>
      <c r="I438" s="553"/>
      <c r="J438" s="490"/>
    </row>
    <row r="439" spans="1:10" x14ac:dyDescent="0.25">
      <c r="A439" s="488"/>
      <c r="B439" s="553"/>
      <c r="C439" s="553"/>
      <c r="D439" s="553"/>
      <c r="E439" s="553"/>
      <c r="F439" s="553"/>
      <c r="G439" s="553"/>
      <c r="H439" s="553"/>
      <c r="I439" s="553"/>
      <c r="J439" s="490"/>
    </row>
    <row r="440" spans="1:10" x14ac:dyDescent="0.25">
      <c r="A440" s="488"/>
      <c r="B440" s="553"/>
      <c r="C440" s="553"/>
      <c r="D440" s="553"/>
      <c r="E440" s="553"/>
      <c r="F440" s="553"/>
      <c r="G440" s="553"/>
      <c r="H440" s="553"/>
      <c r="I440" s="553"/>
      <c r="J440" s="490"/>
    </row>
    <row r="441" spans="1:10" x14ac:dyDescent="0.25">
      <c r="A441" s="488"/>
      <c r="B441" s="553"/>
      <c r="C441" s="553"/>
      <c r="D441" s="553"/>
      <c r="E441" s="553"/>
      <c r="F441" s="553"/>
      <c r="G441" s="553"/>
      <c r="H441" s="553"/>
      <c r="I441" s="553"/>
      <c r="J441" s="490"/>
    </row>
    <row r="442" spans="1:10" x14ac:dyDescent="0.25">
      <c r="A442" s="488"/>
      <c r="B442" s="553"/>
      <c r="C442" s="553"/>
      <c r="D442" s="553"/>
      <c r="E442" s="553"/>
      <c r="F442" s="553"/>
      <c r="G442" s="553"/>
      <c r="H442" s="553"/>
      <c r="I442" s="553"/>
      <c r="J442" s="490"/>
    </row>
    <row r="443" spans="1:10" x14ac:dyDescent="0.25">
      <c r="A443" s="488"/>
      <c r="B443" s="553"/>
      <c r="C443" s="553"/>
      <c r="D443" s="553"/>
      <c r="E443" s="553"/>
      <c r="F443" s="553"/>
      <c r="G443" s="553"/>
      <c r="H443" s="553"/>
      <c r="I443" s="553"/>
      <c r="J443" s="490"/>
    </row>
    <row r="444" spans="1:10" x14ac:dyDescent="0.25">
      <c r="A444" s="488"/>
      <c r="B444" s="553"/>
      <c r="C444" s="553"/>
      <c r="D444" s="553"/>
      <c r="E444" s="553"/>
      <c r="F444" s="553"/>
      <c r="G444" s="553"/>
      <c r="H444" s="553"/>
      <c r="I444" s="553"/>
      <c r="J444" s="490"/>
    </row>
    <row r="445" spans="1:10" x14ac:dyDescent="0.25">
      <c r="A445" s="488"/>
      <c r="B445" s="553"/>
      <c r="C445" s="553"/>
      <c r="D445" s="553"/>
      <c r="E445" s="553"/>
      <c r="F445" s="553"/>
      <c r="G445" s="553"/>
      <c r="H445" s="553"/>
      <c r="I445" s="553"/>
      <c r="J445" s="490"/>
    </row>
    <row r="446" spans="1:10" x14ac:dyDescent="0.25">
      <c r="A446" s="488"/>
      <c r="B446" s="553"/>
      <c r="C446" s="553"/>
      <c r="D446" s="553"/>
      <c r="E446" s="553"/>
      <c r="F446" s="553"/>
      <c r="G446" s="553"/>
      <c r="H446" s="553"/>
      <c r="I446" s="553"/>
      <c r="J446" s="490"/>
    </row>
    <row r="447" spans="1:10" x14ac:dyDescent="0.25">
      <c r="A447" s="488"/>
      <c r="B447" s="553"/>
      <c r="C447" s="553"/>
      <c r="D447" s="553"/>
      <c r="E447" s="553"/>
      <c r="F447" s="553"/>
      <c r="G447" s="553"/>
      <c r="H447" s="553"/>
      <c r="I447" s="553"/>
      <c r="J447" s="490"/>
    </row>
    <row r="448" spans="1:10" x14ac:dyDescent="0.25">
      <c r="A448" s="488"/>
      <c r="B448" s="553"/>
      <c r="C448" s="553"/>
      <c r="D448" s="553"/>
      <c r="E448" s="553"/>
      <c r="F448" s="553"/>
      <c r="G448" s="553"/>
      <c r="H448" s="553"/>
      <c r="I448" s="553"/>
      <c r="J448" s="490"/>
    </row>
    <row r="449" spans="1:10" x14ac:dyDescent="0.25">
      <c r="A449" s="488"/>
      <c r="B449" s="553"/>
      <c r="C449" s="553"/>
      <c r="D449" s="553"/>
      <c r="E449" s="553"/>
      <c r="F449" s="553"/>
      <c r="G449" s="553"/>
      <c r="H449" s="553"/>
      <c r="I449" s="553"/>
      <c r="J449" s="490"/>
    </row>
    <row r="450" spans="1:10" x14ac:dyDescent="0.25">
      <c r="A450" s="488"/>
      <c r="B450" s="553"/>
      <c r="C450" s="553"/>
      <c r="D450" s="553"/>
      <c r="E450" s="553"/>
      <c r="F450" s="553"/>
      <c r="G450" s="553"/>
      <c r="H450" s="553"/>
      <c r="I450" s="553"/>
      <c r="J450" s="490"/>
    </row>
    <row r="451" spans="1:10" x14ac:dyDescent="0.25">
      <c r="A451" s="488"/>
      <c r="B451" s="553"/>
      <c r="C451" s="553"/>
      <c r="D451" s="553"/>
      <c r="E451" s="553"/>
      <c r="F451" s="553"/>
      <c r="G451" s="553"/>
      <c r="H451" s="553"/>
      <c r="I451" s="553"/>
      <c r="J451" s="490"/>
    </row>
    <row r="452" spans="1:10" x14ac:dyDescent="0.25">
      <c r="A452" s="488"/>
      <c r="B452" s="553"/>
      <c r="C452" s="553"/>
      <c r="D452" s="553"/>
      <c r="E452" s="553"/>
      <c r="F452" s="553"/>
      <c r="G452" s="553"/>
      <c r="H452" s="553"/>
      <c r="I452" s="553"/>
      <c r="J452" s="490"/>
    </row>
    <row r="453" spans="1:10" x14ac:dyDescent="0.25">
      <c r="A453" s="488"/>
      <c r="B453" s="553"/>
      <c r="C453" s="553"/>
      <c r="D453" s="553"/>
      <c r="E453" s="553"/>
      <c r="F453" s="553"/>
      <c r="G453" s="553"/>
      <c r="H453" s="553"/>
      <c r="I453" s="553"/>
      <c r="J453" s="490"/>
    </row>
    <row r="454" spans="1:10" x14ac:dyDescent="0.25">
      <c r="A454" s="488"/>
      <c r="B454" s="553"/>
      <c r="C454" s="553"/>
      <c r="D454" s="553"/>
      <c r="E454" s="553"/>
      <c r="F454" s="553"/>
      <c r="G454" s="553"/>
      <c r="H454" s="553"/>
      <c r="I454" s="553"/>
      <c r="J454" s="490"/>
    </row>
    <row r="455" spans="1:10" x14ac:dyDescent="0.25">
      <c r="A455" s="488"/>
      <c r="B455" s="553"/>
      <c r="C455" s="553"/>
      <c r="D455" s="553"/>
      <c r="E455" s="553"/>
      <c r="F455" s="553"/>
      <c r="G455" s="553"/>
      <c r="H455" s="553"/>
      <c r="I455" s="553"/>
      <c r="J455" s="490"/>
    </row>
    <row r="456" spans="1:10" x14ac:dyDescent="0.25">
      <c r="A456" s="488"/>
      <c r="B456" s="553"/>
      <c r="C456" s="553"/>
      <c r="D456" s="553"/>
      <c r="E456" s="553"/>
      <c r="F456" s="553"/>
      <c r="G456" s="553"/>
      <c r="H456" s="553"/>
      <c r="I456" s="553"/>
      <c r="J456" s="490"/>
    </row>
    <row r="457" spans="1:10" x14ac:dyDescent="0.25">
      <c r="A457" s="488"/>
      <c r="B457" s="553"/>
      <c r="C457" s="553"/>
      <c r="D457" s="553"/>
      <c r="E457" s="553"/>
      <c r="F457" s="553"/>
      <c r="G457" s="553"/>
      <c r="H457" s="553"/>
      <c r="I457" s="553"/>
      <c r="J457" s="490"/>
    </row>
    <row r="458" spans="1:10" x14ac:dyDescent="0.25">
      <c r="A458" s="488"/>
      <c r="B458" s="553"/>
      <c r="C458" s="553"/>
      <c r="D458" s="553"/>
      <c r="E458" s="553"/>
      <c r="F458" s="553"/>
      <c r="G458" s="553"/>
      <c r="H458" s="553"/>
      <c r="I458" s="553"/>
      <c r="J458" s="490"/>
    </row>
    <row r="459" spans="1:10" x14ac:dyDescent="0.25">
      <c r="A459" s="488"/>
      <c r="B459" s="553"/>
      <c r="C459" s="553"/>
      <c r="D459" s="553"/>
      <c r="E459" s="553"/>
      <c r="F459" s="553"/>
      <c r="G459" s="553"/>
      <c r="H459" s="553"/>
      <c r="I459" s="553"/>
      <c r="J459" s="490"/>
    </row>
    <row r="460" spans="1:10" x14ac:dyDescent="0.25">
      <c r="A460" s="491"/>
      <c r="B460" s="492"/>
      <c r="C460" s="492"/>
      <c r="D460" s="492"/>
      <c r="E460" s="492"/>
      <c r="F460" s="492"/>
      <c r="G460" s="492"/>
      <c r="H460" s="492"/>
      <c r="I460" s="492"/>
      <c r="J460" s="493"/>
    </row>
    <row r="462" spans="1:10" ht="15.6" x14ac:dyDescent="0.3">
      <c r="A462" s="355" t="s">
        <v>848</v>
      </c>
      <c r="B462" s="356"/>
      <c r="C462" s="356"/>
      <c r="D462" s="356"/>
      <c r="E462" s="356"/>
      <c r="F462" s="356"/>
      <c r="G462" s="356"/>
      <c r="H462" s="353" t="str">
        <f>'CONTACT INFORMATION'!$A$24</f>
        <v>Alameda</v>
      </c>
      <c r="I462" s="353"/>
      <c r="J462" s="354"/>
    </row>
    <row r="463" spans="1:10" ht="8.1" customHeight="1" x14ac:dyDescent="0.25">
      <c r="A463" s="163"/>
      <c r="B463" s="163"/>
      <c r="C463" s="163"/>
      <c r="D463" s="163"/>
      <c r="E463" s="163"/>
      <c r="F463" s="163"/>
      <c r="G463" s="163"/>
      <c r="H463" s="163"/>
      <c r="I463" s="163"/>
      <c r="J463" s="163"/>
    </row>
    <row r="464" spans="1:10" ht="13.8" x14ac:dyDescent="0.25">
      <c r="A464" s="466" t="s">
        <v>903</v>
      </c>
      <c r="B464" s="467"/>
      <c r="C464" s="467"/>
      <c r="D464" s="467"/>
      <c r="E464" s="467"/>
      <c r="F464" s="467"/>
      <c r="G464" s="467"/>
      <c r="H464" s="467"/>
      <c r="I464" s="467"/>
      <c r="J464" s="468"/>
    </row>
    <row r="465" spans="1:10" x14ac:dyDescent="0.25">
      <c r="A465" s="463" t="s">
        <v>854</v>
      </c>
      <c r="B465" s="464"/>
      <c r="C465" s="464"/>
      <c r="D465" s="465"/>
      <c r="E465" s="544" t="s">
        <v>962</v>
      </c>
      <c r="F465" s="545"/>
      <c r="G465" s="545"/>
      <c r="H465" s="545"/>
      <c r="I465" s="545"/>
      <c r="J465" s="546"/>
    </row>
    <row r="466" spans="1:10" x14ac:dyDescent="0.25">
      <c r="A466" s="503" t="s">
        <v>853</v>
      </c>
      <c r="B466" s="504"/>
      <c r="C466" s="504"/>
      <c r="D466" s="505"/>
      <c r="E466" s="547"/>
      <c r="F466" s="548"/>
      <c r="G466" s="548"/>
      <c r="H466" s="548"/>
      <c r="I466" s="548"/>
      <c r="J466" s="549"/>
    </row>
    <row r="467" spans="1:10" x14ac:dyDescent="0.25">
      <c r="A467" s="541" t="s">
        <v>808</v>
      </c>
      <c r="B467" s="542"/>
      <c r="C467" s="542"/>
      <c r="D467" s="543"/>
      <c r="E467" s="479" t="s">
        <v>510</v>
      </c>
      <c r="F467" s="480"/>
      <c r="G467" s="480"/>
      <c r="H467" s="480"/>
      <c r="I467" s="480"/>
      <c r="J467" s="481"/>
    </row>
    <row r="468" spans="1:10" ht="27" customHeight="1" x14ac:dyDescent="0.25">
      <c r="A468" s="157"/>
      <c r="B468" s="230"/>
      <c r="C468" s="230"/>
      <c r="D468" s="230"/>
      <c r="E468" s="482" t="s">
        <v>535</v>
      </c>
      <c r="F468" s="483"/>
      <c r="G468" s="482" t="s">
        <v>533</v>
      </c>
      <c r="H468" s="483"/>
      <c r="I468" s="484" t="s">
        <v>849</v>
      </c>
      <c r="J468" s="485"/>
    </row>
    <row r="469" spans="1:10" x14ac:dyDescent="0.25">
      <c r="A469" s="448" t="s">
        <v>527</v>
      </c>
      <c r="B469" s="449"/>
      <c r="C469" s="449"/>
      <c r="D469" s="450"/>
      <c r="E469" s="456"/>
      <c r="F469" s="456"/>
      <c r="G469" s="456"/>
      <c r="H469" s="456"/>
      <c r="I469" s="457"/>
      <c r="J469" s="457"/>
    </row>
    <row r="470" spans="1:10" x14ac:dyDescent="0.25">
      <c r="A470" s="452" t="s">
        <v>528</v>
      </c>
      <c r="B470" s="453"/>
      <c r="C470" s="453"/>
      <c r="D470" s="454"/>
      <c r="E470" s="439"/>
      <c r="F470" s="439"/>
      <c r="G470" s="440"/>
      <c r="H470" s="440"/>
      <c r="I470" s="455"/>
      <c r="J470" s="455"/>
    </row>
    <row r="471" spans="1:10" x14ac:dyDescent="0.25">
      <c r="A471" s="448" t="s">
        <v>529</v>
      </c>
      <c r="B471" s="449"/>
      <c r="C471" s="449"/>
      <c r="D471" s="450"/>
      <c r="E471" s="456"/>
      <c r="F471" s="456"/>
      <c r="G471" s="456">
        <v>35333</v>
      </c>
      <c r="H471" s="456"/>
      <c r="I471" s="457"/>
      <c r="J471" s="457"/>
    </row>
    <row r="472" spans="1:10" x14ac:dyDescent="0.25">
      <c r="A472" s="452" t="s">
        <v>530</v>
      </c>
      <c r="B472" s="453"/>
      <c r="C472" s="453"/>
      <c r="D472" s="454"/>
      <c r="E472" s="439"/>
      <c r="F472" s="439"/>
      <c r="G472" s="440"/>
      <c r="H472" s="440"/>
      <c r="I472" s="455"/>
      <c r="J472" s="455"/>
    </row>
    <row r="473" spans="1:10" x14ac:dyDescent="0.25">
      <c r="A473" s="448" t="s">
        <v>531</v>
      </c>
      <c r="B473" s="449"/>
      <c r="C473" s="449"/>
      <c r="D473" s="450"/>
      <c r="E473" s="456"/>
      <c r="F473" s="456"/>
      <c r="G473" s="456"/>
      <c r="H473" s="456"/>
      <c r="I473" s="457"/>
      <c r="J473" s="457"/>
    </row>
    <row r="474" spans="1:10" x14ac:dyDescent="0.25">
      <c r="A474" s="452" t="s">
        <v>532</v>
      </c>
      <c r="B474" s="453"/>
      <c r="C474" s="453"/>
      <c r="D474" s="454"/>
      <c r="E474" s="439"/>
      <c r="F474" s="439"/>
      <c r="G474" s="440"/>
      <c r="H474" s="440"/>
      <c r="I474" s="455"/>
      <c r="J474" s="455"/>
    </row>
    <row r="475" spans="1:10" x14ac:dyDescent="0.25">
      <c r="A475" s="448" t="s">
        <v>537</v>
      </c>
      <c r="B475" s="449"/>
      <c r="C475" s="449"/>
      <c r="D475" s="450"/>
      <c r="E475" s="451"/>
      <c r="F475" s="451"/>
      <c r="G475" s="451"/>
      <c r="H475" s="451"/>
      <c r="I475" s="445"/>
      <c r="J475" s="445"/>
    </row>
    <row r="476" spans="1:10" x14ac:dyDescent="0.25">
      <c r="A476" s="436"/>
      <c r="B476" s="437"/>
      <c r="C476" s="437"/>
      <c r="D476" s="438"/>
      <c r="E476" s="439"/>
      <c r="F476" s="439"/>
      <c r="G476" s="440"/>
      <c r="H476" s="440"/>
      <c r="I476" s="440"/>
      <c r="J476" s="440"/>
    </row>
    <row r="477" spans="1:10" x14ac:dyDescent="0.25">
      <c r="A477" s="436"/>
      <c r="B477" s="437"/>
      <c r="C477" s="437"/>
      <c r="D477" s="438"/>
      <c r="E477" s="439"/>
      <c r="F477" s="439"/>
      <c r="G477" s="440"/>
      <c r="H477" s="440"/>
      <c r="I477" s="440"/>
      <c r="J477" s="440"/>
    </row>
    <row r="478" spans="1:10" x14ac:dyDescent="0.25">
      <c r="A478" s="436"/>
      <c r="B478" s="437"/>
      <c r="C478" s="437"/>
      <c r="D478" s="438"/>
      <c r="E478" s="439"/>
      <c r="F478" s="439"/>
      <c r="G478" s="440"/>
      <c r="H478" s="440"/>
      <c r="I478" s="440"/>
      <c r="J478" s="440"/>
    </row>
    <row r="479" spans="1:10" x14ac:dyDescent="0.25">
      <c r="A479" s="441" t="s">
        <v>534</v>
      </c>
      <c r="B479" s="442"/>
      <c r="C479" s="442"/>
      <c r="D479" s="443"/>
      <c r="E479" s="444">
        <f>SUM(E469:E478)</f>
        <v>0</v>
      </c>
      <c r="F479" s="444"/>
      <c r="G479" s="444">
        <f>SUM(G469:G478)</f>
        <v>35333</v>
      </c>
      <c r="H479" s="444"/>
      <c r="I479" s="444">
        <f>SUM(I469:I478)</f>
        <v>0</v>
      </c>
      <c r="J479" s="444"/>
    </row>
    <row r="480" spans="1:10" x14ac:dyDescent="0.25">
      <c r="A480" s="494" t="s">
        <v>861</v>
      </c>
      <c r="B480" s="495"/>
      <c r="C480" s="495"/>
      <c r="D480" s="495"/>
      <c r="E480" s="495"/>
      <c r="F480" s="495"/>
      <c r="G480" s="495"/>
      <c r="H480" s="495"/>
      <c r="I480" s="495"/>
      <c r="J480" s="496"/>
    </row>
    <row r="481" spans="1:10" x14ac:dyDescent="0.25">
      <c r="A481" s="497" t="s">
        <v>862</v>
      </c>
      <c r="B481" s="498"/>
      <c r="C481" s="498"/>
      <c r="D481" s="498"/>
      <c r="E481" s="498"/>
      <c r="F481" s="498"/>
      <c r="G481" s="498"/>
      <c r="H481" s="498"/>
      <c r="I481" s="498"/>
      <c r="J481" s="499"/>
    </row>
    <row r="482" spans="1:10" x14ac:dyDescent="0.25">
      <c r="A482" s="497" t="s">
        <v>863</v>
      </c>
      <c r="B482" s="498"/>
      <c r="C482" s="498"/>
      <c r="D482" s="498"/>
      <c r="E482" s="498"/>
      <c r="F482" s="498"/>
      <c r="G482" s="498"/>
      <c r="H482" s="498"/>
      <c r="I482" s="498"/>
      <c r="J482" s="499"/>
    </row>
    <row r="483" spans="1:10" x14ac:dyDescent="0.25">
      <c r="A483" s="500" t="s">
        <v>864</v>
      </c>
      <c r="B483" s="501"/>
      <c r="C483" s="501"/>
      <c r="D483" s="501"/>
      <c r="E483" s="501"/>
      <c r="F483" s="501"/>
      <c r="G483" s="501"/>
      <c r="H483" s="501"/>
      <c r="I483" s="501"/>
      <c r="J483" s="502"/>
    </row>
    <row r="484" spans="1:10" x14ac:dyDescent="0.25">
      <c r="A484" s="305" t="s">
        <v>984</v>
      </c>
      <c r="B484" s="486"/>
      <c r="C484" s="486"/>
      <c r="D484" s="486"/>
      <c r="E484" s="486"/>
      <c r="F484" s="486"/>
      <c r="G484" s="486"/>
      <c r="H484" s="486"/>
      <c r="I484" s="486"/>
      <c r="J484" s="487"/>
    </row>
    <row r="485" spans="1:10" x14ac:dyDescent="0.25">
      <c r="A485" s="488"/>
      <c r="B485" s="553"/>
      <c r="C485" s="553"/>
      <c r="D485" s="553"/>
      <c r="E485" s="553"/>
      <c r="F485" s="553"/>
      <c r="G485" s="553"/>
      <c r="H485" s="553"/>
      <c r="I485" s="553"/>
      <c r="J485" s="490"/>
    </row>
    <row r="486" spans="1:10" x14ac:dyDescent="0.25">
      <c r="A486" s="488"/>
      <c r="B486" s="553"/>
      <c r="C486" s="553"/>
      <c r="D486" s="553"/>
      <c r="E486" s="553"/>
      <c r="F486" s="553"/>
      <c r="G486" s="553"/>
      <c r="H486" s="553"/>
      <c r="I486" s="553"/>
      <c r="J486" s="490"/>
    </row>
    <row r="487" spans="1:10" x14ac:dyDescent="0.25">
      <c r="A487" s="488"/>
      <c r="B487" s="553"/>
      <c r="C487" s="553"/>
      <c r="D487" s="553"/>
      <c r="E487" s="553"/>
      <c r="F487" s="553"/>
      <c r="G487" s="553"/>
      <c r="H487" s="553"/>
      <c r="I487" s="553"/>
      <c r="J487" s="490"/>
    </row>
    <row r="488" spans="1:10" x14ac:dyDescent="0.25">
      <c r="A488" s="488"/>
      <c r="B488" s="553"/>
      <c r="C488" s="553"/>
      <c r="D488" s="553"/>
      <c r="E488" s="553"/>
      <c r="F488" s="553"/>
      <c r="G488" s="553"/>
      <c r="H488" s="553"/>
      <c r="I488" s="553"/>
      <c r="J488" s="490"/>
    </row>
    <row r="489" spans="1:10" x14ac:dyDescent="0.25">
      <c r="A489" s="488"/>
      <c r="B489" s="553"/>
      <c r="C489" s="553"/>
      <c r="D489" s="553"/>
      <c r="E489" s="553"/>
      <c r="F489" s="553"/>
      <c r="G489" s="553"/>
      <c r="H489" s="553"/>
      <c r="I489" s="553"/>
      <c r="J489" s="490"/>
    </row>
    <row r="490" spans="1:10" x14ac:dyDescent="0.25">
      <c r="A490" s="488"/>
      <c r="B490" s="553"/>
      <c r="C490" s="553"/>
      <c r="D490" s="553"/>
      <c r="E490" s="553"/>
      <c r="F490" s="553"/>
      <c r="G490" s="553"/>
      <c r="H490" s="553"/>
      <c r="I490" s="553"/>
      <c r="J490" s="490"/>
    </row>
    <row r="491" spans="1:10" x14ac:dyDescent="0.25">
      <c r="A491" s="488"/>
      <c r="B491" s="553"/>
      <c r="C491" s="553"/>
      <c r="D491" s="553"/>
      <c r="E491" s="553"/>
      <c r="F491" s="553"/>
      <c r="G491" s="553"/>
      <c r="H491" s="553"/>
      <c r="I491" s="553"/>
      <c r="J491" s="490"/>
    </row>
    <row r="492" spans="1:10" x14ac:dyDescent="0.25">
      <c r="A492" s="488"/>
      <c r="B492" s="553"/>
      <c r="C492" s="553"/>
      <c r="D492" s="553"/>
      <c r="E492" s="553"/>
      <c r="F492" s="553"/>
      <c r="G492" s="553"/>
      <c r="H492" s="553"/>
      <c r="I492" s="553"/>
      <c r="J492" s="490"/>
    </row>
    <row r="493" spans="1:10" x14ac:dyDescent="0.25">
      <c r="A493" s="488"/>
      <c r="B493" s="553"/>
      <c r="C493" s="553"/>
      <c r="D493" s="553"/>
      <c r="E493" s="553"/>
      <c r="F493" s="553"/>
      <c r="G493" s="553"/>
      <c r="H493" s="553"/>
      <c r="I493" s="553"/>
      <c r="J493" s="490"/>
    </row>
    <row r="494" spans="1:10" x14ac:dyDescent="0.25">
      <c r="A494" s="488"/>
      <c r="B494" s="553"/>
      <c r="C494" s="553"/>
      <c r="D494" s="553"/>
      <c r="E494" s="553"/>
      <c r="F494" s="553"/>
      <c r="G494" s="553"/>
      <c r="H494" s="553"/>
      <c r="I494" s="553"/>
      <c r="J494" s="490"/>
    </row>
    <row r="495" spans="1:10" x14ac:dyDescent="0.25">
      <c r="A495" s="488"/>
      <c r="B495" s="553"/>
      <c r="C495" s="553"/>
      <c r="D495" s="553"/>
      <c r="E495" s="553"/>
      <c r="F495" s="553"/>
      <c r="G495" s="553"/>
      <c r="H495" s="553"/>
      <c r="I495" s="553"/>
      <c r="J495" s="490"/>
    </row>
    <row r="496" spans="1:10" x14ac:dyDescent="0.25">
      <c r="A496" s="488"/>
      <c r="B496" s="553"/>
      <c r="C496" s="553"/>
      <c r="D496" s="553"/>
      <c r="E496" s="553"/>
      <c r="F496" s="553"/>
      <c r="G496" s="553"/>
      <c r="H496" s="553"/>
      <c r="I496" s="553"/>
      <c r="J496" s="490"/>
    </row>
    <row r="497" spans="1:10" x14ac:dyDescent="0.25">
      <c r="A497" s="488"/>
      <c r="B497" s="553"/>
      <c r="C497" s="553"/>
      <c r="D497" s="553"/>
      <c r="E497" s="553"/>
      <c r="F497" s="553"/>
      <c r="G497" s="553"/>
      <c r="H497" s="553"/>
      <c r="I497" s="553"/>
      <c r="J497" s="490"/>
    </row>
    <row r="498" spans="1:10" x14ac:dyDescent="0.25">
      <c r="A498" s="488"/>
      <c r="B498" s="553"/>
      <c r="C498" s="553"/>
      <c r="D498" s="553"/>
      <c r="E498" s="553"/>
      <c r="F498" s="553"/>
      <c r="G498" s="553"/>
      <c r="H498" s="553"/>
      <c r="I498" s="553"/>
      <c r="J498" s="490"/>
    </row>
    <row r="499" spans="1:10" x14ac:dyDescent="0.25">
      <c r="A499" s="488"/>
      <c r="B499" s="553"/>
      <c r="C499" s="553"/>
      <c r="D499" s="553"/>
      <c r="E499" s="553"/>
      <c r="F499" s="553"/>
      <c r="G499" s="553"/>
      <c r="H499" s="553"/>
      <c r="I499" s="553"/>
      <c r="J499" s="490"/>
    </row>
    <row r="500" spans="1:10" x14ac:dyDescent="0.25">
      <c r="A500" s="488"/>
      <c r="B500" s="553"/>
      <c r="C500" s="553"/>
      <c r="D500" s="553"/>
      <c r="E500" s="553"/>
      <c r="F500" s="553"/>
      <c r="G500" s="553"/>
      <c r="H500" s="553"/>
      <c r="I500" s="553"/>
      <c r="J500" s="490"/>
    </row>
    <row r="501" spans="1:10" x14ac:dyDescent="0.25">
      <c r="A501" s="488"/>
      <c r="B501" s="553"/>
      <c r="C501" s="553"/>
      <c r="D501" s="553"/>
      <c r="E501" s="553"/>
      <c r="F501" s="553"/>
      <c r="G501" s="553"/>
      <c r="H501" s="553"/>
      <c r="I501" s="553"/>
      <c r="J501" s="490"/>
    </row>
    <row r="502" spans="1:10" x14ac:dyDescent="0.25">
      <c r="A502" s="488"/>
      <c r="B502" s="553"/>
      <c r="C502" s="553"/>
      <c r="D502" s="553"/>
      <c r="E502" s="553"/>
      <c r="F502" s="553"/>
      <c r="G502" s="553"/>
      <c r="H502" s="553"/>
      <c r="I502" s="553"/>
      <c r="J502" s="490"/>
    </row>
    <row r="503" spans="1:10" x14ac:dyDescent="0.25">
      <c r="A503" s="488"/>
      <c r="B503" s="553"/>
      <c r="C503" s="553"/>
      <c r="D503" s="553"/>
      <c r="E503" s="553"/>
      <c r="F503" s="553"/>
      <c r="G503" s="553"/>
      <c r="H503" s="553"/>
      <c r="I503" s="553"/>
      <c r="J503" s="490"/>
    </row>
    <row r="504" spans="1:10" x14ac:dyDescent="0.25">
      <c r="A504" s="488"/>
      <c r="B504" s="553"/>
      <c r="C504" s="553"/>
      <c r="D504" s="553"/>
      <c r="E504" s="553"/>
      <c r="F504" s="553"/>
      <c r="G504" s="553"/>
      <c r="H504" s="553"/>
      <c r="I504" s="553"/>
      <c r="J504" s="490"/>
    </row>
    <row r="505" spans="1:10" x14ac:dyDescent="0.25">
      <c r="A505" s="488"/>
      <c r="B505" s="553"/>
      <c r="C505" s="553"/>
      <c r="D505" s="553"/>
      <c r="E505" s="553"/>
      <c r="F505" s="553"/>
      <c r="G505" s="553"/>
      <c r="H505" s="553"/>
      <c r="I505" s="553"/>
      <c r="J505" s="490"/>
    </row>
    <row r="506" spans="1:10" x14ac:dyDescent="0.25">
      <c r="A506" s="488"/>
      <c r="B506" s="553"/>
      <c r="C506" s="553"/>
      <c r="D506" s="553"/>
      <c r="E506" s="553"/>
      <c r="F506" s="553"/>
      <c r="G506" s="553"/>
      <c r="H506" s="553"/>
      <c r="I506" s="553"/>
      <c r="J506" s="490"/>
    </row>
    <row r="507" spans="1:10" x14ac:dyDescent="0.25">
      <c r="A507" s="488"/>
      <c r="B507" s="553"/>
      <c r="C507" s="553"/>
      <c r="D507" s="553"/>
      <c r="E507" s="553"/>
      <c r="F507" s="553"/>
      <c r="G507" s="553"/>
      <c r="H507" s="553"/>
      <c r="I507" s="553"/>
      <c r="J507" s="490"/>
    </row>
    <row r="508" spans="1:10" x14ac:dyDescent="0.25">
      <c r="A508" s="488"/>
      <c r="B508" s="553"/>
      <c r="C508" s="553"/>
      <c r="D508" s="553"/>
      <c r="E508" s="553"/>
      <c r="F508" s="553"/>
      <c r="G508" s="553"/>
      <c r="H508" s="553"/>
      <c r="I508" s="553"/>
      <c r="J508" s="490"/>
    </row>
    <row r="509" spans="1:10" x14ac:dyDescent="0.25">
      <c r="A509" s="488"/>
      <c r="B509" s="553"/>
      <c r="C509" s="553"/>
      <c r="D509" s="553"/>
      <c r="E509" s="553"/>
      <c r="F509" s="553"/>
      <c r="G509" s="553"/>
      <c r="H509" s="553"/>
      <c r="I509" s="553"/>
      <c r="J509" s="490"/>
    </row>
    <row r="510" spans="1:10" x14ac:dyDescent="0.25">
      <c r="A510" s="488"/>
      <c r="B510" s="553"/>
      <c r="C510" s="553"/>
      <c r="D510" s="553"/>
      <c r="E510" s="553"/>
      <c r="F510" s="553"/>
      <c r="G510" s="553"/>
      <c r="H510" s="553"/>
      <c r="I510" s="553"/>
      <c r="J510" s="490"/>
    </row>
    <row r="511" spans="1:10" x14ac:dyDescent="0.25">
      <c r="A511" s="488"/>
      <c r="B511" s="553"/>
      <c r="C511" s="553"/>
      <c r="D511" s="553"/>
      <c r="E511" s="553"/>
      <c r="F511" s="553"/>
      <c r="G511" s="553"/>
      <c r="H511" s="553"/>
      <c r="I511" s="553"/>
      <c r="J511" s="490"/>
    </row>
    <row r="512" spans="1:10" x14ac:dyDescent="0.25">
      <c r="A512" s="488"/>
      <c r="B512" s="553"/>
      <c r="C512" s="553"/>
      <c r="D512" s="553"/>
      <c r="E512" s="553"/>
      <c r="F512" s="553"/>
      <c r="G512" s="553"/>
      <c r="H512" s="553"/>
      <c r="I512" s="553"/>
      <c r="J512" s="490"/>
    </row>
    <row r="513" spans="1:10" x14ac:dyDescent="0.25">
      <c r="A513" s="488"/>
      <c r="B513" s="553"/>
      <c r="C513" s="553"/>
      <c r="D513" s="553"/>
      <c r="E513" s="553"/>
      <c r="F513" s="553"/>
      <c r="G513" s="553"/>
      <c r="H513" s="553"/>
      <c r="I513" s="553"/>
      <c r="J513" s="490"/>
    </row>
    <row r="514" spans="1:10" x14ac:dyDescent="0.25">
      <c r="A514" s="488"/>
      <c r="B514" s="553"/>
      <c r="C514" s="553"/>
      <c r="D514" s="553"/>
      <c r="E514" s="553"/>
      <c r="F514" s="553"/>
      <c r="G514" s="553"/>
      <c r="H514" s="553"/>
      <c r="I514" s="553"/>
      <c r="J514" s="490"/>
    </row>
    <row r="515" spans="1:10" x14ac:dyDescent="0.25">
      <c r="A515" s="488"/>
      <c r="B515" s="553"/>
      <c r="C515" s="553"/>
      <c r="D515" s="553"/>
      <c r="E515" s="553"/>
      <c r="F515" s="553"/>
      <c r="G515" s="553"/>
      <c r="H515" s="553"/>
      <c r="I515" s="553"/>
      <c r="J515" s="490"/>
    </row>
    <row r="516" spans="1:10" x14ac:dyDescent="0.25">
      <c r="A516" s="488"/>
      <c r="B516" s="553"/>
      <c r="C516" s="553"/>
      <c r="D516" s="553"/>
      <c r="E516" s="553"/>
      <c r="F516" s="553"/>
      <c r="G516" s="553"/>
      <c r="H516" s="553"/>
      <c r="I516" s="553"/>
      <c r="J516" s="490"/>
    </row>
    <row r="517" spans="1:10" x14ac:dyDescent="0.25">
      <c r="A517" s="488"/>
      <c r="B517" s="553"/>
      <c r="C517" s="553"/>
      <c r="D517" s="553"/>
      <c r="E517" s="553"/>
      <c r="F517" s="553"/>
      <c r="G517" s="553"/>
      <c r="H517" s="553"/>
      <c r="I517" s="553"/>
      <c r="J517" s="490"/>
    </row>
    <row r="518" spans="1:10" x14ac:dyDescent="0.25">
      <c r="A518" s="491"/>
      <c r="B518" s="492"/>
      <c r="C518" s="492"/>
      <c r="D518" s="492"/>
      <c r="E518" s="492"/>
      <c r="F518" s="492"/>
      <c r="G518" s="492"/>
      <c r="H518" s="492"/>
      <c r="I518" s="492"/>
      <c r="J518" s="493"/>
    </row>
    <row r="520" spans="1:10" ht="15.6" x14ac:dyDescent="0.3">
      <c r="A520" s="355" t="s">
        <v>848</v>
      </c>
      <c r="B520" s="356"/>
      <c r="C520" s="356"/>
      <c r="D520" s="356"/>
      <c r="E520" s="356"/>
      <c r="F520" s="356"/>
      <c r="G520" s="356"/>
      <c r="H520" s="353" t="str">
        <f>'CONTACT INFORMATION'!$A$24</f>
        <v>Alameda</v>
      </c>
      <c r="I520" s="353"/>
      <c r="J520" s="354"/>
    </row>
    <row r="521" spans="1:10" ht="8.1" customHeight="1" x14ac:dyDescent="0.25">
      <c r="A521" s="163"/>
      <c r="B521" s="163"/>
      <c r="C521" s="163"/>
      <c r="D521" s="163"/>
      <c r="E521" s="163"/>
      <c r="F521" s="163"/>
      <c r="G521" s="163"/>
      <c r="H521" s="163"/>
      <c r="I521" s="163"/>
      <c r="J521" s="163"/>
    </row>
    <row r="522" spans="1:10" ht="13.8" x14ac:dyDescent="0.25">
      <c r="A522" s="466" t="s">
        <v>904</v>
      </c>
      <c r="B522" s="467"/>
      <c r="C522" s="467"/>
      <c r="D522" s="467"/>
      <c r="E522" s="467"/>
      <c r="F522" s="467"/>
      <c r="G522" s="467"/>
      <c r="H522" s="467"/>
      <c r="I522" s="467"/>
      <c r="J522" s="468"/>
    </row>
    <row r="523" spans="1:10" ht="12.75" customHeight="1" x14ac:dyDescent="0.25">
      <c r="A523" s="463" t="s">
        <v>854</v>
      </c>
      <c r="B523" s="464"/>
      <c r="C523" s="464"/>
      <c r="D523" s="465"/>
      <c r="E523" s="544" t="s">
        <v>963</v>
      </c>
      <c r="F523" s="545"/>
      <c r="G523" s="545"/>
      <c r="H523" s="545"/>
      <c r="I523" s="545"/>
      <c r="J523" s="546"/>
    </row>
    <row r="524" spans="1:10" ht="12.75" customHeight="1" x14ac:dyDescent="0.25">
      <c r="A524" s="503" t="s">
        <v>853</v>
      </c>
      <c r="B524" s="504"/>
      <c r="C524" s="504"/>
      <c r="D524" s="505"/>
      <c r="E524" s="547"/>
      <c r="F524" s="548"/>
      <c r="G524" s="548"/>
      <c r="H524" s="548"/>
      <c r="I524" s="548"/>
      <c r="J524" s="549"/>
    </row>
    <row r="525" spans="1:10" x14ac:dyDescent="0.25">
      <c r="A525" s="541" t="s">
        <v>808</v>
      </c>
      <c r="B525" s="542"/>
      <c r="C525" s="542"/>
      <c r="D525" s="543"/>
      <c r="E525" s="479" t="s">
        <v>510</v>
      </c>
      <c r="F525" s="480"/>
      <c r="G525" s="480"/>
      <c r="H525" s="480"/>
      <c r="I525" s="480"/>
      <c r="J525" s="481"/>
    </row>
    <row r="526" spans="1:10" ht="27" customHeight="1" x14ac:dyDescent="0.25">
      <c r="A526" s="157"/>
      <c r="B526" s="230"/>
      <c r="C526" s="230"/>
      <c r="D526" s="230"/>
      <c r="E526" s="482" t="s">
        <v>535</v>
      </c>
      <c r="F526" s="483"/>
      <c r="G526" s="482" t="s">
        <v>533</v>
      </c>
      <c r="H526" s="483"/>
      <c r="I526" s="484" t="s">
        <v>849</v>
      </c>
      <c r="J526" s="485"/>
    </row>
    <row r="527" spans="1:10" x14ac:dyDescent="0.25">
      <c r="A527" s="448" t="s">
        <v>527</v>
      </c>
      <c r="B527" s="449"/>
      <c r="C527" s="449"/>
      <c r="D527" s="450"/>
      <c r="E527" s="456"/>
      <c r="F527" s="456"/>
      <c r="G527" s="456"/>
      <c r="H527" s="456"/>
      <c r="I527" s="457"/>
      <c r="J527" s="457"/>
    </row>
    <row r="528" spans="1:10" x14ac:dyDescent="0.25">
      <c r="A528" s="452" t="s">
        <v>528</v>
      </c>
      <c r="B528" s="453"/>
      <c r="C528" s="453"/>
      <c r="D528" s="454"/>
      <c r="E528" s="439"/>
      <c r="F528" s="439"/>
      <c r="I528" s="455"/>
      <c r="J528" s="455"/>
    </row>
    <row r="529" spans="1:10" x14ac:dyDescent="0.25">
      <c r="A529" s="448" t="s">
        <v>529</v>
      </c>
      <c r="B529" s="449"/>
      <c r="C529" s="449"/>
      <c r="D529" s="450"/>
      <c r="E529" s="456">
        <v>9636</v>
      </c>
      <c r="F529" s="456"/>
      <c r="G529" s="456"/>
      <c r="H529" s="456"/>
      <c r="I529" s="457"/>
      <c r="J529" s="457"/>
    </row>
    <row r="530" spans="1:10" x14ac:dyDescent="0.25">
      <c r="A530" s="452" t="s">
        <v>530</v>
      </c>
      <c r="B530" s="453"/>
      <c r="C530" s="453"/>
      <c r="D530" s="454"/>
      <c r="E530" s="439"/>
      <c r="F530" s="439"/>
      <c r="G530" s="440"/>
      <c r="H530" s="440"/>
      <c r="I530" s="455"/>
      <c r="J530" s="455"/>
    </row>
    <row r="531" spans="1:10" x14ac:dyDescent="0.25">
      <c r="A531" s="448" t="s">
        <v>531</v>
      </c>
      <c r="B531" s="449"/>
      <c r="C531" s="449"/>
      <c r="D531" s="450"/>
      <c r="E531" s="456"/>
      <c r="F531" s="456"/>
      <c r="G531" s="456"/>
      <c r="H531" s="456"/>
      <c r="I531" s="457"/>
      <c r="J531" s="457"/>
    </row>
    <row r="532" spans="1:10" x14ac:dyDescent="0.25">
      <c r="A532" s="452" t="s">
        <v>532</v>
      </c>
      <c r="B532" s="453"/>
      <c r="C532" s="453"/>
      <c r="D532" s="454"/>
      <c r="E532" s="439"/>
      <c r="F532" s="439"/>
      <c r="G532" s="440"/>
      <c r="H532" s="440"/>
      <c r="I532" s="455"/>
      <c r="J532" s="455"/>
    </row>
    <row r="533" spans="1:10" x14ac:dyDescent="0.25">
      <c r="A533" s="448" t="s">
        <v>537</v>
      </c>
      <c r="B533" s="449"/>
      <c r="C533" s="449"/>
      <c r="D533" s="450"/>
      <c r="E533" s="451"/>
      <c r="F533" s="451"/>
      <c r="G533" s="451"/>
      <c r="H533" s="451"/>
      <c r="I533" s="445"/>
      <c r="J533" s="445"/>
    </row>
    <row r="534" spans="1:10" x14ac:dyDescent="0.25">
      <c r="A534" s="436"/>
      <c r="B534" s="437"/>
      <c r="C534" s="437"/>
      <c r="D534" s="438"/>
      <c r="E534" s="439"/>
      <c r="F534" s="439"/>
      <c r="G534" s="440"/>
      <c r="H534" s="440"/>
      <c r="I534" s="440"/>
      <c r="J534" s="440"/>
    </row>
    <row r="535" spans="1:10" x14ac:dyDescent="0.25">
      <c r="A535" s="436"/>
      <c r="B535" s="437"/>
      <c r="C535" s="437"/>
      <c r="D535" s="438"/>
      <c r="E535" s="439"/>
      <c r="F535" s="439"/>
      <c r="G535" s="440"/>
      <c r="H535" s="440"/>
      <c r="I535" s="440"/>
      <c r="J535" s="440"/>
    </row>
    <row r="536" spans="1:10" x14ac:dyDescent="0.25">
      <c r="A536" s="436"/>
      <c r="B536" s="437"/>
      <c r="C536" s="437"/>
      <c r="D536" s="438"/>
      <c r="E536" s="439"/>
      <c r="F536" s="439"/>
      <c r="G536" s="440"/>
      <c r="H536" s="440"/>
      <c r="I536" s="440"/>
      <c r="J536" s="440"/>
    </row>
    <row r="537" spans="1:10" x14ac:dyDescent="0.25">
      <c r="A537" s="441" t="s">
        <v>534</v>
      </c>
      <c r="B537" s="442"/>
      <c r="C537" s="442"/>
      <c r="D537" s="443"/>
      <c r="E537" s="444">
        <f>SUM(E527:E536)</f>
        <v>9636</v>
      </c>
      <c r="F537" s="444"/>
      <c r="G537" s="444"/>
      <c r="H537" s="444"/>
      <c r="I537" s="444">
        <f>SUM(I527:I536)</f>
        <v>0</v>
      </c>
      <c r="J537" s="444"/>
    </row>
    <row r="538" spans="1:10" ht="12.75" customHeight="1" x14ac:dyDescent="0.25">
      <c r="A538" s="494" t="s">
        <v>861</v>
      </c>
      <c r="B538" s="495"/>
      <c r="C538" s="495"/>
      <c r="D538" s="495"/>
      <c r="E538" s="495"/>
      <c r="F538" s="495"/>
      <c r="G538" s="495"/>
      <c r="H538" s="495"/>
      <c r="I538" s="495"/>
      <c r="J538" s="496"/>
    </row>
    <row r="539" spans="1:10" ht="12.75" customHeight="1" x14ac:dyDescent="0.25">
      <c r="A539" s="497" t="s">
        <v>862</v>
      </c>
      <c r="B539" s="498"/>
      <c r="C539" s="498"/>
      <c r="D539" s="498"/>
      <c r="E539" s="498"/>
      <c r="F539" s="498"/>
      <c r="G539" s="498"/>
      <c r="H539" s="498"/>
      <c r="I539" s="498"/>
      <c r="J539" s="499"/>
    </row>
    <row r="540" spans="1:10" ht="12.75" customHeight="1" x14ac:dyDescent="0.25">
      <c r="A540" s="497" t="s">
        <v>863</v>
      </c>
      <c r="B540" s="498"/>
      <c r="C540" s="498"/>
      <c r="D540" s="498"/>
      <c r="E540" s="498"/>
      <c r="F540" s="498"/>
      <c r="G540" s="498"/>
      <c r="H540" s="498"/>
      <c r="I540" s="498"/>
      <c r="J540" s="499"/>
    </row>
    <row r="541" spans="1:10" ht="12.75" customHeight="1" x14ac:dyDescent="0.25">
      <c r="A541" s="500" t="s">
        <v>864</v>
      </c>
      <c r="B541" s="501"/>
      <c r="C541" s="501"/>
      <c r="D541" s="501"/>
      <c r="E541" s="501"/>
      <c r="F541" s="501"/>
      <c r="G541" s="501"/>
      <c r="H541" s="501"/>
      <c r="I541" s="501"/>
      <c r="J541" s="502"/>
    </row>
    <row r="542" spans="1:10" x14ac:dyDescent="0.25">
      <c r="A542" s="305" t="s">
        <v>985</v>
      </c>
      <c r="B542" s="486"/>
      <c r="C542" s="486"/>
      <c r="D542" s="486"/>
      <c r="E542" s="486"/>
      <c r="F542" s="486"/>
      <c r="G542" s="486"/>
      <c r="H542" s="486"/>
      <c r="I542" s="486"/>
      <c r="J542" s="487"/>
    </row>
    <row r="543" spans="1:10" x14ac:dyDescent="0.25">
      <c r="A543" s="488"/>
      <c r="B543" s="553"/>
      <c r="C543" s="553"/>
      <c r="D543" s="553"/>
      <c r="E543" s="553"/>
      <c r="F543" s="553"/>
      <c r="G543" s="553"/>
      <c r="H543" s="553"/>
      <c r="I543" s="553"/>
      <c r="J543" s="490"/>
    </row>
    <row r="544" spans="1:10" x14ac:dyDescent="0.25">
      <c r="A544" s="488"/>
      <c r="B544" s="553"/>
      <c r="C544" s="553"/>
      <c r="D544" s="553"/>
      <c r="E544" s="553"/>
      <c r="F544" s="553"/>
      <c r="G544" s="553"/>
      <c r="H544" s="553"/>
      <c r="I544" s="553"/>
      <c r="J544" s="490"/>
    </row>
    <row r="545" spans="1:10" x14ac:dyDescent="0.25">
      <c r="A545" s="488"/>
      <c r="B545" s="553"/>
      <c r="C545" s="553"/>
      <c r="D545" s="553"/>
      <c r="E545" s="553"/>
      <c r="F545" s="553"/>
      <c r="G545" s="553"/>
      <c r="H545" s="553"/>
      <c r="I545" s="553"/>
      <c r="J545" s="490"/>
    </row>
    <row r="546" spans="1:10" x14ac:dyDescent="0.25">
      <c r="A546" s="488"/>
      <c r="B546" s="553"/>
      <c r="C546" s="553"/>
      <c r="D546" s="553"/>
      <c r="E546" s="553"/>
      <c r="F546" s="553"/>
      <c r="G546" s="553"/>
      <c r="H546" s="553"/>
      <c r="I546" s="553"/>
      <c r="J546" s="490"/>
    </row>
    <row r="547" spans="1:10" x14ac:dyDescent="0.25">
      <c r="A547" s="488"/>
      <c r="B547" s="553"/>
      <c r="C547" s="553"/>
      <c r="D547" s="553"/>
      <c r="E547" s="553"/>
      <c r="F547" s="553"/>
      <c r="G547" s="553"/>
      <c r="H547" s="553"/>
      <c r="I547" s="553"/>
      <c r="J547" s="490"/>
    </row>
    <row r="548" spans="1:10" x14ac:dyDescent="0.25">
      <c r="A548" s="488"/>
      <c r="B548" s="553"/>
      <c r="C548" s="553"/>
      <c r="D548" s="553"/>
      <c r="E548" s="553"/>
      <c r="F548" s="553"/>
      <c r="G548" s="553"/>
      <c r="H548" s="553"/>
      <c r="I548" s="553"/>
      <c r="J548" s="490"/>
    </row>
    <row r="549" spans="1:10" x14ac:dyDescent="0.25">
      <c r="A549" s="488"/>
      <c r="B549" s="553"/>
      <c r="C549" s="553"/>
      <c r="D549" s="553"/>
      <c r="E549" s="553"/>
      <c r="F549" s="553"/>
      <c r="G549" s="553"/>
      <c r="H549" s="553"/>
      <c r="I549" s="553"/>
      <c r="J549" s="490"/>
    </row>
    <row r="550" spans="1:10" x14ac:dyDescent="0.25">
      <c r="A550" s="488"/>
      <c r="B550" s="553"/>
      <c r="C550" s="553"/>
      <c r="D550" s="553"/>
      <c r="E550" s="553"/>
      <c r="F550" s="553"/>
      <c r="G550" s="553"/>
      <c r="H550" s="553"/>
      <c r="I550" s="553"/>
      <c r="J550" s="490"/>
    </row>
    <row r="551" spans="1:10" x14ac:dyDescent="0.25">
      <c r="A551" s="488"/>
      <c r="B551" s="553"/>
      <c r="C551" s="553"/>
      <c r="D551" s="553"/>
      <c r="E551" s="553"/>
      <c r="F551" s="553"/>
      <c r="G551" s="553"/>
      <c r="H551" s="553"/>
      <c r="I551" s="553"/>
      <c r="J551" s="490"/>
    </row>
    <row r="552" spans="1:10" x14ac:dyDescent="0.25">
      <c r="A552" s="488"/>
      <c r="B552" s="553"/>
      <c r="C552" s="553"/>
      <c r="D552" s="553"/>
      <c r="E552" s="553"/>
      <c r="F552" s="553"/>
      <c r="G552" s="553"/>
      <c r="H552" s="553"/>
      <c r="I552" s="553"/>
      <c r="J552" s="490"/>
    </row>
    <row r="553" spans="1:10" x14ac:dyDescent="0.25">
      <c r="A553" s="488"/>
      <c r="B553" s="553"/>
      <c r="C553" s="553"/>
      <c r="D553" s="553"/>
      <c r="E553" s="553"/>
      <c r="F553" s="553"/>
      <c r="G553" s="553"/>
      <c r="H553" s="553"/>
      <c r="I553" s="553"/>
      <c r="J553" s="490"/>
    </row>
    <row r="554" spans="1:10" x14ac:dyDescent="0.25">
      <c r="A554" s="488"/>
      <c r="B554" s="553"/>
      <c r="C554" s="553"/>
      <c r="D554" s="553"/>
      <c r="E554" s="553"/>
      <c r="F554" s="553"/>
      <c r="G554" s="553"/>
      <c r="H554" s="553"/>
      <c r="I554" s="553"/>
      <c r="J554" s="490"/>
    </row>
    <row r="555" spans="1:10" x14ac:dyDescent="0.25">
      <c r="A555" s="488"/>
      <c r="B555" s="553"/>
      <c r="C555" s="553"/>
      <c r="D555" s="553"/>
      <c r="E555" s="553"/>
      <c r="F555" s="553"/>
      <c r="G555" s="553"/>
      <c r="H555" s="553"/>
      <c r="I555" s="553"/>
      <c r="J555" s="490"/>
    </row>
    <row r="556" spans="1:10" x14ac:dyDescent="0.25">
      <c r="A556" s="488"/>
      <c r="B556" s="553"/>
      <c r="C556" s="553"/>
      <c r="D556" s="553"/>
      <c r="E556" s="553"/>
      <c r="F556" s="553"/>
      <c r="G556" s="553"/>
      <c r="H556" s="553"/>
      <c r="I556" s="553"/>
      <c r="J556" s="490"/>
    </row>
    <row r="557" spans="1:10" x14ac:dyDescent="0.25">
      <c r="A557" s="488"/>
      <c r="B557" s="553"/>
      <c r="C557" s="553"/>
      <c r="D557" s="553"/>
      <c r="E557" s="553"/>
      <c r="F557" s="553"/>
      <c r="G557" s="553"/>
      <c r="H557" s="553"/>
      <c r="I557" s="553"/>
      <c r="J557" s="490"/>
    </row>
    <row r="558" spans="1:10" x14ac:dyDescent="0.25">
      <c r="A558" s="488"/>
      <c r="B558" s="553"/>
      <c r="C558" s="553"/>
      <c r="D558" s="553"/>
      <c r="E558" s="553"/>
      <c r="F558" s="553"/>
      <c r="G558" s="553"/>
      <c r="H558" s="553"/>
      <c r="I558" s="553"/>
      <c r="J558" s="490"/>
    </row>
    <row r="559" spans="1:10" x14ac:dyDescent="0.25">
      <c r="A559" s="488"/>
      <c r="B559" s="553"/>
      <c r="C559" s="553"/>
      <c r="D559" s="553"/>
      <c r="E559" s="553"/>
      <c r="F559" s="553"/>
      <c r="G559" s="553"/>
      <c r="H559" s="553"/>
      <c r="I559" s="553"/>
      <c r="J559" s="490"/>
    </row>
    <row r="560" spans="1:10" x14ac:dyDescent="0.25">
      <c r="A560" s="488"/>
      <c r="B560" s="553"/>
      <c r="C560" s="553"/>
      <c r="D560" s="553"/>
      <c r="E560" s="553"/>
      <c r="F560" s="553"/>
      <c r="G560" s="553"/>
      <c r="H560" s="553"/>
      <c r="I560" s="553"/>
      <c r="J560" s="490"/>
    </row>
    <row r="561" spans="1:10" x14ac:dyDescent="0.25">
      <c r="A561" s="488"/>
      <c r="B561" s="553"/>
      <c r="C561" s="553"/>
      <c r="D561" s="553"/>
      <c r="E561" s="553"/>
      <c r="F561" s="553"/>
      <c r="G561" s="553"/>
      <c r="H561" s="553"/>
      <c r="I561" s="553"/>
      <c r="J561" s="490"/>
    </row>
    <row r="562" spans="1:10" x14ac:dyDescent="0.25">
      <c r="A562" s="488"/>
      <c r="B562" s="553"/>
      <c r="C562" s="553"/>
      <c r="D562" s="553"/>
      <c r="E562" s="553"/>
      <c r="F562" s="553"/>
      <c r="G562" s="553"/>
      <c r="H562" s="553"/>
      <c r="I562" s="553"/>
      <c r="J562" s="490"/>
    </row>
    <row r="563" spans="1:10" x14ac:dyDescent="0.25">
      <c r="A563" s="488"/>
      <c r="B563" s="553"/>
      <c r="C563" s="553"/>
      <c r="D563" s="553"/>
      <c r="E563" s="553"/>
      <c r="F563" s="553"/>
      <c r="G563" s="553"/>
      <c r="H563" s="553"/>
      <c r="I563" s="553"/>
      <c r="J563" s="490"/>
    </row>
    <row r="564" spans="1:10" x14ac:dyDescent="0.25">
      <c r="A564" s="488"/>
      <c r="B564" s="553"/>
      <c r="C564" s="553"/>
      <c r="D564" s="553"/>
      <c r="E564" s="553"/>
      <c r="F564" s="553"/>
      <c r="G564" s="553"/>
      <c r="H564" s="553"/>
      <c r="I564" s="553"/>
      <c r="J564" s="490"/>
    </row>
    <row r="565" spans="1:10" x14ac:dyDescent="0.25">
      <c r="A565" s="488"/>
      <c r="B565" s="553"/>
      <c r="C565" s="553"/>
      <c r="D565" s="553"/>
      <c r="E565" s="553"/>
      <c r="F565" s="553"/>
      <c r="G565" s="553"/>
      <c r="H565" s="553"/>
      <c r="I565" s="553"/>
      <c r="J565" s="490"/>
    </row>
    <row r="566" spans="1:10" x14ac:dyDescent="0.25">
      <c r="A566" s="488"/>
      <c r="B566" s="553"/>
      <c r="C566" s="553"/>
      <c r="D566" s="553"/>
      <c r="E566" s="553"/>
      <c r="F566" s="553"/>
      <c r="G566" s="553"/>
      <c r="H566" s="553"/>
      <c r="I566" s="553"/>
      <c r="J566" s="490"/>
    </row>
    <row r="567" spans="1:10" x14ac:dyDescent="0.25">
      <c r="A567" s="488"/>
      <c r="B567" s="553"/>
      <c r="C567" s="553"/>
      <c r="D567" s="553"/>
      <c r="E567" s="553"/>
      <c r="F567" s="553"/>
      <c r="G567" s="553"/>
      <c r="H567" s="553"/>
      <c r="I567" s="553"/>
      <c r="J567" s="490"/>
    </row>
    <row r="568" spans="1:10" x14ac:dyDescent="0.25">
      <c r="A568" s="488"/>
      <c r="B568" s="553"/>
      <c r="C568" s="553"/>
      <c r="D568" s="553"/>
      <c r="E568" s="553"/>
      <c r="F568" s="553"/>
      <c r="G568" s="553"/>
      <c r="H568" s="553"/>
      <c r="I568" s="553"/>
      <c r="J568" s="490"/>
    </row>
    <row r="569" spans="1:10" x14ac:dyDescent="0.25">
      <c r="A569" s="488"/>
      <c r="B569" s="553"/>
      <c r="C569" s="553"/>
      <c r="D569" s="553"/>
      <c r="E569" s="553"/>
      <c r="F569" s="553"/>
      <c r="G569" s="553"/>
      <c r="H569" s="553"/>
      <c r="I569" s="553"/>
      <c r="J569" s="490"/>
    </row>
    <row r="570" spans="1:10" x14ac:dyDescent="0.25">
      <c r="A570" s="488"/>
      <c r="B570" s="553"/>
      <c r="C570" s="553"/>
      <c r="D570" s="553"/>
      <c r="E570" s="553"/>
      <c r="F570" s="553"/>
      <c r="G570" s="553"/>
      <c r="H570" s="553"/>
      <c r="I570" s="553"/>
      <c r="J570" s="490"/>
    </row>
    <row r="571" spans="1:10" x14ac:dyDescent="0.25">
      <c r="A571" s="488"/>
      <c r="B571" s="553"/>
      <c r="C571" s="553"/>
      <c r="D571" s="553"/>
      <c r="E571" s="553"/>
      <c r="F571" s="553"/>
      <c r="G571" s="553"/>
      <c r="H571" s="553"/>
      <c r="I571" s="553"/>
      <c r="J571" s="490"/>
    </row>
    <row r="572" spans="1:10" x14ac:dyDescent="0.25">
      <c r="A572" s="488"/>
      <c r="B572" s="553"/>
      <c r="C572" s="553"/>
      <c r="D572" s="553"/>
      <c r="E572" s="553"/>
      <c r="F572" s="553"/>
      <c r="G572" s="553"/>
      <c r="H572" s="553"/>
      <c r="I572" s="553"/>
      <c r="J572" s="490"/>
    </row>
    <row r="573" spans="1:10" x14ac:dyDescent="0.25">
      <c r="A573" s="488"/>
      <c r="B573" s="553"/>
      <c r="C573" s="553"/>
      <c r="D573" s="553"/>
      <c r="E573" s="553"/>
      <c r="F573" s="553"/>
      <c r="G573" s="553"/>
      <c r="H573" s="553"/>
      <c r="I573" s="553"/>
      <c r="J573" s="490"/>
    </row>
    <row r="574" spans="1:10" x14ac:dyDescent="0.25">
      <c r="A574" s="488"/>
      <c r="B574" s="553"/>
      <c r="C574" s="553"/>
      <c r="D574" s="553"/>
      <c r="E574" s="553"/>
      <c r="F574" s="553"/>
      <c r="G574" s="553"/>
      <c r="H574" s="553"/>
      <c r="I574" s="553"/>
      <c r="J574" s="490"/>
    </row>
    <row r="575" spans="1:10" x14ac:dyDescent="0.25">
      <c r="A575" s="488"/>
      <c r="B575" s="553"/>
      <c r="C575" s="553"/>
      <c r="D575" s="553"/>
      <c r="E575" s="553"/>
      <c r="F575" s="553"/>
      <c r="G575" s="553"/>
      <c r="H575" s="553"/>
      <c r="I575" s="553"/>
      <c r="J575" s="490"/>
    </row>
    <row r="576" spans="1:10" x14ac:dyDescent="0.25">
      <c r="A576" s="491"/>
      <c r="B576" s="492"/>
      <c r="C576" s="492"/>
      <c r="D576" s="492"/>
      <c r="E576" s="492"/>
      <c r="F576" s="492"/>
      <c r="G576" s="492"/>
      <c r="H576" s="492"/>
      <c r="I576" s="492"/>
      <c r="J576" s="493"/>
    </row>
    <row r="578" spans="1:10" ht="15.6" x14ac:dyDescent="0.3">
      <c r="A578" s="355" t="s">
        <v>848</v>
      </c>
      <c r="B578" s="356"/>
      <c r="C578" s="356"/>
      <c r="D578" s="356"/>
      <c r="E578" s="356"/>
      <c r="F578" s="356"/>
      <c r="G578" s="356"/>
      <c r="H578" s="353" t="str">
        <f>'CONTACT INFORMATION'!$A$24</f>
        <v>Alameda</v>
      </c>
      <c r="I578" s="353"/>
      <c r="J578" s="354"/>
    </row>
    <row r="579" spans="1:10" ht="8.1" customHeight="1" x14ac:dyDescent="0.25">
      <c r="A579" s="163"/>
      <c r="B579" s="163"/>
      <c r="C579" s="163"/>
      <c r="D579" s="163"/>
      <c r="E579" s="163"/>
      <c r="F579" s="163"/>
      <c r="G579" s="163"/>
      <c r="H579" s="163"/>
      <c r="I579" s="163"/>
      <c r="J579" s="163"/>
    </row>
    <row r="580" spans="1:10" ht="13.8" x14ac:dyDescent="0.25">
      <c r="A580" s="466" t="s">
        <v>905</v>
      </c>
      <c r="B580" s="467"/>
      <c r="C580" s="467"/>
      <c r="D580" s="467"/>
      <c r="E580" s="467"/>
      <c r="F580" s="467"/>
      <c r="G580" s="467"/>
      <c r="H580" s="467"/>
      <c r="I580" s="467"/>
      <c r="J580" s="468"/>
    </row>
    <row r="581" spans="1:10" ht="12.75" customHeight="1" x14ac:dyDescent="0.25">
      <c r="A581" s="463" t="s">
        <v>854</v>
      </c>
      <c r="B581" s="464"/>
      <c r="C581" s="464"/>
      <c r="D581" s="465"/>
      <c r="E581" s="544" t="s">
        <v>969</v>
      </c>
      <c r="F581" s="545"/>
      <c r="G581" s="545"/>
      <c r="H581" s="545"/>
      <c r="I581" s="545"/>
      <c r="J581" s="546"/>
    </row>
    <row r="582" spans="1:10" ht="12.75" customHeight="1" x14ac:dyDescent="0.25">
      <c r="A582" s="503" t="s">
        <v>853</v>
      </c>
      <c r="B582" s="504"/>
      <c r="C582" s="504"/>
      <c r="D582" s="505"/>
      <c r="E582" s="547"/>
      <c r="F582" s="548"/>
      <c r="G582" s="548"/>
      <c r="H582" s="548"/>
      <c r="I582" s="548"/>
      <c r="J582" s="549"/>
    </row>
    <row r="583" spans="1:10" x14ac:dyDescent="0.25">
      <c r="A583" s="541" t="s">
        <v>808</v>
      </c>
      <c r="B583" s="542"/>
      <c r="C583" s="542"/>
      <c r="D583" s="543"/>
      <c r="E583" s="479" t="s">
        <v>510</v>
      </c>
      <c r="F583" s="480"/>
      <c r="G583" s="480"/>
      <c r="H583" s="480"/>
      <c r="I583" s="480"/>
      <c r="J583" s="481"/>
    </row>
    <row r="584" spans="1:10" ht="27" customHeight="1" x14ac:dyDescent="0.25">
      <c r="A584" s="157"/>
      <c r="B584" s="230"/>
      <c r="C584" s="230"/>
      <c r="D584" s="230"/>
      <c r="E584" s="482" t="s">
        <v>535</v>
      </c>
      <c r="F584" s="483"/>
      <c r="G584" s="482" t="s">
        <v>533</v>
      </c>
      <c r="H584" s="483"/>
      <c r="I584" s="484" t="s">
        <v>849</v>
      </c>
      <c r="J584" s="485"/>
    </row>
    <row r="585" spans="1:10" x14ac:dyDescent="0.25">
      <c r="A585" s="448" t="s">
        <v>527</v>
      </c>
      <c r="B585" s="449"/>
      <c r="C585" s="449"/>
      <c r="D585" s="450"/>
      <c r="E585" s="456"/>
      <c r="F585" s="456"/>
      <c r="G585" s="456"/>
      <c r="H585" s="456"/>
      <c r="I585" s="457"/>
      <c r="J585" s="457"/>
    </row>
    <row r="586" spans="1:10" x14ac:dyDescent="0.25">
      <c r="A586" s="452" t="s">
        <v>528</v>
      </c>
      <c r="B586" s="453"/>
      <c r="C586" s="453"/>
      <c r="D586" s="454"/>
      <c r="E586" s="439"/>
      <c r="F586" s="439"/>
      <c r="G586" s="440"/>
      <c r="H586" s="440"/>
      <c r="I586" s="455"/>
      <c r="J586" s="455"/>
    </row>
    <row r="587" spans="1:10" x14ac:dyDescent="0.25">
      <c r="A587" s="448" t="s">
        <v>529</v>
      </c>
      <c r="B587" s="449"/>
      <c r="C587" s="449"/>
      <c r="D587" s="450"/>
      <c r="E587" s="456">
        <v>153177</v>
      </c>
      <c r="F587" s="456"/>
      <c r="G587" s="456"/>
      <c r="H587" s="456"/>
      <c r="I587" s="457"/>
      <c r="J587" s="457"/>
    </row>
    <row r="588" spans="1:10" x14ac:dyDescent="0.25">
      <c r="A588" s="452" t="s">
        <v>530</v>
      </c>
      <c r="B588" s="453"/>
      <c r="C588" s="453"/>
      <c r="D588" s="454"/>
      <c r="E588" s="439"/>
      <c r="F588" s="439"/>
      <c r="G588" s="440"/>
      <c r="H588" s="440"/>
      <c r="I588" s="455"/>
      <c r="J588" s="455"/>
    </row>
    <row r="589" spans="1:10" x14ac:dyDescent="0.25">
      <c r="A589" s="448" t="s">
        <v>531</v>
      </c>
      <c r="B589" s="449"/>
      <c r="C589" s="449"/>
      <c r="D589" s="450"/>
      <c r="E589" s="456"/>
      <c r="F589" s="456"/>
      <c r="G589" s="456"/>
      <c r="H589" s="456"/>
      <c r="I589" s="457"/>
      <c r="J589" s="457"/>
    </row>
    <row r="590" spans="1:10" x14ac:dyDescent="0.25">
      <c r="A590" s="452" t="s">
        <v>532</v>
      </c>
      <c r="B590" s="453"/>
      <c r="C590" s="453"/>
      <c r="D590" s="454"/>
      <c r="E590" s="439"/>
      <c r="F590" s="439"/>
      <c r="G590" s="440"/>
      <c r="H590" s="440"/>
      <c r="I590" s="455"/>
      <c r="J590" s="455"/>
    </row>
    <row r="591" spans="1:10" x14ac:dyDescent="0.25">
      <c r="A591" s="448" t="s">
        <v>537</v>
      </c>
      <c r="B591" s="449"/>
      <c r="C591" s="449"/>
      <c r="D591" s="450"/>
      <c r="E591" s="451"/>
      <c r="F591" s="451"/>
      <c r="G591" s="451"/>
      <c r="H591" s="451"/>
      <c r="I591" s="445"/>
      <c r="J591" s="445"/>
    </row>
    <row r="592" spans="1:10" x14ac:dyDescent="0.25">
      <c r="A592" s="436"/>
      <c r="B592" s="437"/>
      <c r="C592" s="437"/>
      <c r="D592" s="438"/>
      <c r="E592" s="439"/>
      <c r="F592" s="439"/>
      <c r="G592" s="440"/>
      <c r="H592" s="440"/>
      <c r="I592" s="440"/>
      <c r="J592" s="440"/>
    </row>
    <row r="593" spans="1:10" x14ac:dyDescent="0.25">
      <c r="A593" s="436"/>
      <c r="B593" s="437"/>
      <c r="C593" s="437"/>
      <c r="D593" s="438"/>
      <c r="E593" s="439"/>
      <c r="F593" s="439"/>
      <c r="G593" s="440"/>
      <c r="H593" s="440"/>
      <c r="I593" s="440"/>
      <c r="J593" s="440"/>
    </row>
    <row r="594" spans="1:10" x14ac:dyDescent="0.25">
      <c r="A594" s="436"/>
      <c r="B594" s="437"/>
      <c r="C594" s="437"/>
      <c r="D594" s="438"/>
      <c r="E594" s="439"/>
      <c r="F594" s="439"/>
      <c r="G594" s="440"/>
      <c r="H594" s="440"/>
      <c r="I594" s="440"/>
      <c r="J594" s="440"/>
    </row>
    <row r="595" spans="1:10" x14ac:dyDescent="0.25">
      <c r="A595" s="441" t="s">
        <v>534</v>
      </c>
      <c r="B595" s="442"/>
      <c r="C595" s="442"/>
      <c r="D595" s="443"/>
      <c r="E595" s="444">
        <f>SUM(E585:E594)</f>
        <v>153177</v>
      </c>
      <c r="F595" s="444"/>
      <c r="G595" s="444">
        <f>SUM(G585:G594)</f>
        <v>0</v>
      </c>
      <c r="H595" s="444"/>
      <c r="I595" s="444">
        <f>SUM(I585:I594)</f>
        <v>0</v>
      </c>
      <c r="J595" s="444"/>
    </row>
    <row r="596" spans="1:10" ht="12.75" customHeight="1" x14ac:dyDescent="0.25">
      <c r="A596" s="494" t="s">
        <v>861</v>
      </c>
      <c r="B596" s="495"/>
      <c r="C596" s="495"/>
      <c r="D596" s="495"/>
      <c r="E596" s="495"/>
      <c r="F596" s="495"/>
      <c r="G596" s="495"/>
      <c r="H596" s="495"/>
      <c r="I596" s="495"/>
      <c r="J596" s="496"/>
    </row>
    <row r="597" spans="1:10" ht="12.75" customHeight="1" x14ac:dyDescent="0.25">
      <c r="A597" s="497" t="s">
        <v>862</v>
      </c>
      <c r="B597" s="498"/>
      <c r="C597" s="498"/>
      <c r="D597" s="498"/>
      <c r="E597" s="498"/>
      <c r="F597" s="498"/>
      <c r="G597" s="498"/>
      <c r="H597" s="498"/>
      <c r="I597" s="498"/>
      <c r="J597" s="499"/>
    </row>
    <row r="598" spans="1:10" ht="12.75" customHeight="1" x14ac:dyDescent="0.25">
      <c r="A598" s="497" t="s">
        <v>863</v>
      </c>
      <c r="B598" s="498"/>
      <c r="C598" s="498"/>
      <c r="D598" s="498"/>
      <c r="E598" s="498"/>
      <c r="F598" s="498"/>
      <c r="G598" s="498"/>
      <c r="H598" s="498"/>
      <c r="I598" s="498"/>
      <c r="J598" s="499"/>
    </row>
    <row r="599" spans="1:10" ht="12.75" customHeight="1" x14ac:dyDescent="0.25">
      <c r="A599" s="500" t="s">
        <v>864</v>
      </c>
      <c r="B599" s="501"/>
      <c r="C599" s="501"/>
      <c r="D599" s="501"/>
      <c r="E599" s="501"/>
      <c r="F599" s="501"/>
      <c r="G599" s="501"/>
      <c r="H599" s="501"/>
      <c r="I599" s="501"/>
      <c r="J599" s="502"/>
    </row>
    <row r="600" spans="1:10" ht="13.2" customHeight="1" x14ac:dyDescent="0.25">
      <c r="A600" s="305" t="s">
        <v>970</v>
      </c>
      <c r="B600" s="486"/>
      <c r="C600" s="486"/>
      <c r="D600" s="486"/>
      <c r="E600" s="486"/>
      <c r="F600" s="486"/>
      <c r="G600" s="486"/>
      <c r="H600" s="486"/>
      <c r="I600" s="486"/>
      <c r="J600" s="487"/>
    </row>
    <row r="601" spans="1:10" x14ac:dyDescent="0.25">
      <c r="A601" s="488"/>
      <c r="B601" s="553"/>
      <c r="C601" s="553"/>
      <c r="D601" s="553"/>
      <c r="E601" s="553"/>
      <c r="F601" s="553"/>
      <c r="G601" s="553"/>
      <c r="H601" s="553"/>
      <c r="I601" s="553"/>
      <c r="J601" s="490"/>
    </row>
    <row r="602" spans="1:10" x14ac:dyDescent="0.25">
      <c r="A602" s="488"/>
      <c r="B602" s="553"/>
      <c r="C602" s="553"/>
      <c r="D602" s="553"/>
      <c r="E602" s="553"/>
      <c r="F602" s="553"/>
      <c r="G602" s="553"/>
      <c r="H602" s="553"/>
      <c r="I602" s="553"/>
      <c r="J602" s="490"/>
    </row>
    <row r="603" spans="1:10" x14ac:dyDescent="0.25">
      <c r="A603" s="488"/>
      <c r="B603" s="553"/>
      <c r="C603" s="553"/>
      <c r="D603" s="553"/>
      <c r="E603" s="553"/>
      <c r="F603" s="553"/>
      <c r="G603" s="553"/>
      <c r="H603" s="553"/>
      <c r="I603" s="553"/>
      <c r="J603" s="490"/>
    </row>
    <row r="604" spans="1:10" x14ac:dyDescent="0.25">
      <c r="A604" s="488"/>
      <c r="B604" s="553"/>
      <c r="C604" s="553"/>
      <c r="D604" s="553"/>
      <c r="E604" s="553"/>
      <c r="F604" s="553"/>
      <c r="G604" s="553"/>
      <c r="H604" s="553"/>
      <c r="I604" s="553"/>
      <c r="J604" s="490"/>
    </row>
    <row r="605" spans="1:10" x14ac:dyDescent="0.25">
      <c r="A605" s="488"/>
      <c r="B605" s="553"/>
      <c r="C605" s="553"/>
      <c r="D605" s="553"/>
      <c r="E605" s="553"/>
      <c r="F605" s="553"/>
      <c r="G605" s="553"/>
      <c r="H605" s="553"/>
      <c r="I605" s="553"/>
      <c r="J605" s="490"/>
    </row>
    <row r="606" spans="1:10" x14ac:dyDescent="0.25">
      <c r="A606" s="488"/>
      <c r="B606" s="553"/>
      <c r="C606" s="553"/>
      <c r="D606" s="553"/>
      <c r="E606" s="553"/>
      <c r="F606" s="553"/>
      <c r="G606" s="553"/>
      <c r="H606" s="553"/>
      <c r="I606" s="553"/>
      <c r="J606" s="490"/>
    </row>
    <row r="607" spans="1:10" x14ac:dyDescent="0.25">
      <c r="A607" s="488"/>
      <c r="B607" s="553"/>
      <c r="C607" s="553"/>
      <c r="D607" s="553"/>
      <c r="E607" s="553"/>
      <c r="F607" s="553"/>
      <c r="G607" s="553"/>
      <c r="H607" s="553"/>
      <c r="I607" s="553"/>
      <c r="J607" s="490"/>
    </row>
    <row r="608" spans="1:10" x14ac:dyDescent="0.25">
      <c r="A608" s="488"/>
      <c r="B608" s="553"/>
      <c r="C608" s="553"/>
      <c r="D608" s="553"/>
      <c r="E608" s="553"/>
      <c r="F608" s="553"/>
      <c r="G608" s="553"/>
      <c r="H608" s="553"/>
      <c r="I608" s="553"/>
      <c r="J608" s="490"/>
    </row>
    <row r="609" spans="1:10" x14ac:dyDescent="0.25">
      <c r="A609" s="488"/>
      <c r="B609" s="553"/>
      <c r="C609" s="553"/>
      <c r="D609" s="553"/>
      <c r="E609" s="553"/>
      <c r="F609" s="553"/>
      <c r="G609" s="553"/>
      <c r="H609" s="553"/>
      <c r="I609" s="553"/>
      <c r="J609" s="490"/>
    </row>
    <row r="610" spans="1:10" x14ac:dyDescent="0.25">
      <c r="A610" s="488"/>
      <c r="B610" s="553"/>
      <c r="C610" s="553"/>
      <c r="D610" s="553"/>
      <c r="E610" s="553"/>
      <c r="F610" s="553"/>
      <c r="G610" s="553"/>
      <c r="H610" s="553"/>
      <c r="I610" s="553"/>
      <c r="J610" s="490"/>
    </row>
    <row r="611" spans="1:10" x14ac:dyDescent="0.25">
      <c r="A611" s="488"/>
      <c r="B611" s="553"/>
      <c r="C611" s="553"/>
      <c r="D611" s="553"/>
      <c r="E611" s="553"/>
      <c r="F611" s="553"/>
      <c r="G611" s="553"/>
      <c r="H611" s="553"/>
      <c r="I611" s="553"/>
      <c r="J611" s="490"/>
    </row>
    <row r="612" spans="1:10" x14ac:dyDescent="0.25">
      <c r="A612" s="488"/>
      <c r="B612" s="553"/>
      <c r="C612" s="553"/>
      <c r="D612" s="553"/>
      <c r="E612" s="553"/>
      <c r="F612" s="553"/>
      <c r="G612" s="553"/>
      <c r="H612" s="553"/>
      <c r="I612" s="553"/>
      <c r="J612" s="490"/>
    </row>
    <row r="613" spans="1:10" x14ac:dyDescent="0.25">
      <c r="A613" s="488"/>
      <c r="B613" s="553"/>
      <c r="C613" s="553"/>
      <c r="D613" s="553"/>
      <c r="E613" s="553"/>
      <c r="F613" s="553"/>
      <c r="G613" s="553"/>
      <c r="H613" s="553"/>
      <c r="I613" s="553"/>
      <c r="J613" s="490"/>
    </row>
    <row r="614" spans="1:10" x14ac:dyDescent="0.25">
      <c r="A614" s="488"/>
      <c r="B614" s="553"/>
      <c r="C614" s="553"/>
      <c r="D614" s="553"/>
      <c r="E614" s="553"/>
      <c r="F614" s="553"/>
      <c r="G614" s="553"/>
      <c r="H614" s="553"/>
      <c r="I614" s="553"/>
      <c r="J614" s="490"/>
    </row>
    <row r="615" spans="1:10" x14ac:dyDescent="0.25">
      <c r="A615" s="488"/>
      <c r="B615" s="553"/>
      <c r="C615" s="553"/>
      <c r="D615" s="553"/>
      <c r="E615" s="553"/>
      <c r="F615" s="553"/>
      <c r="G615" s="553"/>
      <c r="H615" s="553"/>
      <c r="I615" s="553"/>
      <c r="J615" s="490"/>
    </row>
    <row r="616" spans="1:10" x14ac:dyDescent="0.25">
      <c r="A616" s="488"/>
      <c r="B616" s="553"/>
      <c r="C616" s="553"/>
      <c r="D616" s="553"/>
      <c r="E616" s="553"/>
      <c r="F616" s="553"/>
      <c r="G616" s="553"/>
      <c r="H616" s="553"/>
      <c r="I616" s="553"/>
      <c r="J616" s="490"/>
    </row>
    <row r="617" spans="1:10" x14ac:dyDescent="0.25">
      <c r="A617" s="488"/>
      <c r="B617" s="553"/>
      <c r="C617" s="553"/>
      <c r="D617" s="553"/>
      <c r="E617" s="553"/>
      <c r="F617" s="553"/>
      <c r="G617" s="553"/>
      <c r="H617" s="553"/>
      <c r="I617" s="553"/>
      <c r="J617" s="490"/>
    </row>
    <row r="618" spans="1:10" x14ac:dyDescent="0.25">
      <c r="A618" s="488"/>
      <c r="B618" s="553"/>
      <c r="C618" s="553"/>
      <c r="D618" s="553"/>
      <c r="E618" s="553"/>
      <c r="F618" s="553"/>
      <c r="G618" s="553"/>
      <c r="H618" s="553"/>
      <c r="I618" s="553"/>
      <c r="J618" s="490"/>
    </row>
    <row r="619" spans="1:10" x14ac:dyDescent="0.25">
      <c r="A619" s="488"/>
      <c r="B619" s="553"/>
      <c r="C619" s="553"/>
      <c r="D619" s="553"/>
      <c r="E619" s="553"/>
      <c r="F619" s="553"/>
      <c r="G619" s="553"/>
      <c r="H619" s="553"/>
      <c r="I619" s="553"/>
      <c r="J619" s="490"/>
    </row>
    <row r="620" spans="1:10" x14ac:dyDescent="0.25">
      <c r="A620" s="488"/>
      <c r="B620" s="553"/>
      <c r="C620" s="553"/>
      <c r="D620" s="553"/>
      <c r="E620" s="553"/>
      <c r="F620" s="553"/>
      <c r="G620" s="553"/>
      <c r="H620" s="553"/>
      <c r="I620" s="553"/>
      <c r="J620" s="490"/>
    </row>
    <row r="621" spans="1:10" x14ac:dyDescent="0.25">
      <c r="A621" s="488"/>
      <c r="B621" s="553"/>
      <c r="C621" s="553"/>
      <c r="D621" s="553"/>
      <c r="E621" s="553"/>
      <c r="F621" s="553"/>
      <c r="G621" s="553"/>
      <c r="H621" s="553"/>
      <c r="I621" s="553"/>
      <c r="J621" s="490"/>
    </row>
    <row r="622" spans="1:10" x14ac:dyDescent="0.25">
      <c r="A622" s="488"/>
      <c r="B622" s="553"/>
      <c r="C622" s="553"/>
      <c r="D622" s="553"/>
      <c r="E622" s="553"/>
      <c r="F622" s="553"/>
      <c r="G622" s="553"/>
      <c r="H622" s="553"/>
      <c r="I622" s="553"/>
      <c r="J622" s="490"/>
    </row>
    <row r="623" spans="1:10" x14ac:dyDescent="0.25">
      <c r="A623" s="488"/>
      <c r="B623" s="553"/>
      <c r="C623" s="553"/>
      <c r="D623" s="553"/>
      <c r="E623" s="553"/>
      <c r="F623" s="553"/>
      <c r="G623" s="553"/>
      <c r="H623" s="553"/>
      <c r="I623" s="553"/>
      <c r="J623" s="490"/>
    </row>
    <row r="624" spans="1:10" x14ac:dyDescent="0.25">
      <c r="A624" s="488"/>
      <c r="B624" s="553"/>
      <c r="C624" s="553"/>
      <c r="D624" s="553"/>
      <c r="E624" s="553"/>
      <c r="F624" s="553"/>
      <c r="G624" s="553"/>
      <c r="H624" s="553"/>
      <c r="I624" s="553"/>
      <c r="J624" s="490"/>
    </row>
    <row r="625" spans="1:10" x14ac:dyDescent="0.25">
      <c r="A625" s="488"/>
      <c r="B625" s="553"/>
      <c r="C625" s="553"/>
      <c r="D625" s="553"/>
      <c r="E625" s="553"/>
      <c r="F625" s="553"/>
      <c r="G625" s="553"/>
      <c r="H625" s="553"/>
      <c r="I625" s="553"/>
      <c r="J625" s="490"/>
    </row>
    <row r="626" spans="1:10" x14ac:dyDescent="0.25">
      <c r="A626" s="488"/>
      <c r="B626" s="553"/>
      <c r="C626" s="553"/>
      <c r="D626" s="553"/>
      <c r="E626" s="553"/>
      <c r="F626" s="553"/>
      <c r="G626" s="553"/>
      <c r="H626" s="553"/>
      <c r="I626" s="553"/>
      <c r="J626" s="490"/>
    </row>
    <row r="627" spans="1:10" x14ac:dyDescent="0.25">
      <c r="A627" s="488"/>
      <c r="B627" s="553"/>
      <c r="C627" s="553"/>
      <c r="D627" s="553"/>
      <c r="E627" s="553"/>
      <c r="F627" s="553"/>
      <c r="G627" s="553"/>
      <c r="H627" s="553"/>
      <c r="I627" s="553"/>
      <c r="J627" s="490"/>
    </row>
    <row r="628" spans="1:10" x14ac:dyDescent="0.25">
      <c r="A628" s="488"/>
      <c r="B628" s="553"/>
      <c r="C628" s="553"/>
      <c r="D628" s="553"/>
      <c r="E628" s="553"/>
      <c r="F628" s="553"/>
      <c r="G628" s="553"/>
      <c r="H628" s="553"/>
      <c r="I628" s="553"/>
      <c r="J628" s="490"/>
    </row>
    <row r="629" spans="1:10" x14ac:dyDescent="0.25">
      <c r="A629" s="488"/>
      <c r="B629" s="553"/>
      <c r="C629" s="553"/>
      <c r="D629" s="553"/>
      <c r="E629" s="553"/>
      <c r="F629" s="553"/>
      <c r="G629" s="553"/>
      <c r="H629" s="553"/>
      <c r="I629" s="553"/>
      <c r="J629" s="490"/>
    </row>
    <row r="630" spans="1:10" x14ac:dyDescent="0.25">
      <c r="A630" s="488"/>
      <c r="B630" s="553"/>
      <c r="C630" s="553"/>
      <c r="D630" s="553"/>
      <c r="E630" s="553"/>
      <c r="F630" s="553"/>
      <c r="G630" s="553"/>
      <c r="H630" s="553"/>
      <c r="I630" s="553"/>
      <c r="J630" s="490"/>
    </row>
    <row r="631" spans="1:10" x14ac:dyDescent="0.25">
      <c r="A631" s="488"/>
      <c r="B631" s="553"/>
      <c r="C631" s="553"/>
      <c r="D631" s="553"/>
      <c r="E631" s="553"/>
      <c r="F631" s="553"/>
      <c r="G631" s="553"/>
      <c r="H631" s="553"/>
      <c r="I631" s="553"/>
      <c r="J631" s="490"/>
    </row>
    <row r="632" spans="1:10" x14ac:dyDescent="0.25">
      <c r="A632" s="488"/>
      <c r="B632" s="553"/>
      <c r="C632" s="553"/>
      <c r="D632" s="553"/>
      <c r="E632" s="553"/>
      <c r="F632" s="553"/>
      <c r="G632" s="553"/>
      <c r="H632" s="553"/>
      <c r="I632" s="553"/>
      <c r="J632" s="490"/>
    </row>
    <row r="633" spans="1:10" x14ac:dyDescent="0.25">
      <c r="A633" s="488"/>
      <c r="B633" s="553"/>
      <c r="C633" s="553"/>
      <c r="D633" s="553"/>
      <c r="E633" s="553"/>
      <c r="F633" s="553"/>
      <c r="G633" s="553"/>
      <c r="H633" s="553"/>
      <c r="I633" s="553"/>
      <c r="J633" s="490"/>
    </row>
    <row r="634" spans="1:10" x14ac:dyDescent="0.25">
      <c r="A634" s="491"/>
      <c r="B634" s="492"/>
      <c r="C634" s="492"/>
      <c r="D634" s="492"/>
      <c r="E634" s="492"/>
      <c r="F634" s="492"/>
      <c r="G634" s="492"/>
      <c r="H634" s="492"/>
      <c r="I634" s="492"/>
      <c r="J634" s="493"/>
    </row>
    <row r="636" spans="1:10" ht="15.6" x14ac:dyDescent="0.3">
      <c r="A636" s="355" t="s">
        <v>848</v>
      </c>
      <c r="B636" s="356"/>
      <c r="C636" s="356"/>
      <c r="D636" s="356"/>
      <c r="E636" s="356"/>
      <c r="F636" s="356"/>
      <c r="G636" s="356"/>
      <c r="H636" s="353" t="str">
        <f>'CONTACT INFORMATION'!$A$24</f>
        <v>Alameda</v>
      </c>
      <c r="I636" s="353"/>
      <c r="J636" s="354"/>
    </row>
    <row r="637" spans="1:10" ht="8.1" customHeight="1" x14ac:dyDescent="0.25">
      <c r="A637" s="163"/>
      <c r="B637" s="163"/>
      <c r="C637" s="163"/>
      <c r="D637" s="163"/>
      <c r="E637" s="163"/>
      <c r="F637" s="163"/>
      <c r="G637" s="163"/>
      <c r="H637" s="163"/>
      <c r="I637" s="163"/>
      <c r="J637" s="163"/>
    </row>
    <row r="638" spans="1:10" ht="13.8" x14ac:dyDescent="0.25">
      <c r="A638" s="466" t="s">
        <v>906</v>
      </c>
      <c r="B638" s="467"/>
      <c r="C638" s="467"/>
      <c r="D638" s="467"/>
      <c r="E638" s="467"/>
      <c r="F638" s="467"/>
      <c r="G638" s="467"/>
      <c r="H638" s="467"/>
      <c r="I638" s="467"/>
      <c r="J638" s="468"/>
    </row>
    <row r="639" spans="1:10" x14ac:dyDescent="0.25">
      <c r="A639" s="463" t="s">
        <v>854</v>
      </c>
      <c r="B639" s="464"/>
      <c r="C639" s="464"/>
      <c r="D639" s="465"/>
      <c r="E639" s="544" t="s">
        <v>964</v>
      </c>
      <c r="F639" s="545"/>
      <c r="G639" s="545"/>
      <c r="H639" s="545"/>
      <c r="I639" s="545"/>
      <c r="J639" s="546"/>
    </row>
    <row r="640" spans="1:10" x14ac:dyDescent="0.25">
      <c r="A640" s="503" t="s">
        <v>853</v>
      </c>
      <c r="B640" s="504"/>
      <c r="C640" s="504"/>
      <c r="D640" s="505"/>
      <c r="E640" s="547"/>
      <c r="F640" s="548"/>
      <c r="G640" s="548"/>
      <c r="H640" s="548"/>
      <c r="I640" s="548"/>
      <c r="J640" s="549"/>
    </row>
    <row r="641" spans="1:10" x14ac:dyDescent="0.25">
      <c r="A641" s="541" t="s">
        <v>808</v>
      </c>
      <c r="B641" s="542"/>
      <c r="C641" s="542"/>
      <c r="D641" s="543"/>
      <c r="E641" s="479" t="s">
        <v>510</v>
      </c>
      <c r="F641" s="480"/>
      <c r="G641" s="480"/>
      <c r="H641" s="480"/>
      <c r="I641" s="480"/>
      <c r="J641" s="481"/>
    </row>
    <row r="642" spans="1:10" ht="27" customHeight="1" x14ac:dyDescent="0.25">
      <c r="A642" s="157"/>
      <c r="B642" s="230"/>
      <c r="C642" s="230"/>
      <c r="D642" s="230"/>
      <c r="E642" s="482" t="s">
        <v>535</v>
      </c>
      <c r="F642" s="483"/>
      <c r="G642" s="482" t="s">
        <v>533</v>
      </c>
      <c r="H642" s="483"/>
      <c r="I642" s="484" t="s">
        <v>849</v>
      </c>
      <c r="J642" s="485"/>
    </row>
    <row r="643" spans="1:10" x14ac:dyDescent="0.25">
      <c r="A643" s="448" t="s">
        <v>527</v>
      </c>
      <c r="B643" s="449"/>
      <c r="C643" s="449"/>
      <c r="D643" s="450"/>
      <c r="E643" s="456"/>
      <c r="F643" s="456"/>
      <c r="G643" s="456"/>
      <c r="H643" s="456"/>
      <c r="I643" s="457"/>
      <c r="J643" s="457"/>
    </row>
    <row r="644" spans="1:10" x14ac:dyDescent="0.25">
      <c r="A644" s="452" t="s">
        <v>528</v>
      </c>
      <c r="B644" s="453"/>
      <c r="C644" s="453"/>
      <c r="D644" s="454"/>
      <c r="E644" s="439"/>
      <c r="F644" s="439"/>
      <c r="G644" s="440"/>
      <c r="H644" s="440"/>
      <c r="I644" s="455"/>
      <c r="J644" s="455"/>
    </row>
    <row r="645" spans="1:10" x14ac:dyDescent="0.25">
      <c r="A645" s="448" t="s">
        <v>529</v>
      </c>
      <c r="B645" s="449"/>
      <c r="C645" s="449"/>
      <c r="D645" s="450"/>
      <c r="E645" s="456">
        <v>125000</v>
      </c>
      <c r="F645" s="456"/>
      <c r="G645" s="456"/>
      <c r="H645" s="456"/>
      <c r="I645" s="457"/>
      <c r="J645" s="457"/>
    </row>
    <row r="646" spans="1:10" x14ac:dyDescent="0.25">
      <c r="A646" s="452" t="s">
        <v>530</v>
      </c>
      <c r="B646" s="453"/>
      <c r="C646" s="453"/>
      <c r="D646" s="454"/>
      <c r="E646" s="439"/>
      <c r="F646" s="439"/>
      <c r="G646" s="440"/>
      <c r="H646" s="440"/>
      <c r="I646" s="455"/>
      <c r="J646" s="455"/>
    </row>
    <row r="647" spans="1:10" x14ac:dyDescent="0.25">
      <c r="A647" s="448" t="s">
        <v>531</v>
      </c>
      <c r="B647" s="449"/>
      <c r="C647" s="449"/>
      <c r="D647" s="450"/>
      <c r="E647" s="456"/>
      <c r="F647" s="456"/>
      <c r="G647" s="456"/>
      <c r="H647" s="456"/>
      <c r="I647" s="457"/>
      <c r="J647" s="457"/>
    </row>
    <row r="648" spans="1:10" x14ac:dyDescent="0.25">
      <c r="A648" s="452" t="s">
        <v>532</v>
      </c>
      <c r="B648" s="453"/>
      <c r="C648" s="453"/>
      <c r="D648" s="454"/>
      <c r="E648" s="439"/>
      <c r="F648" s="439"/>
      <c r="G648" s="440"/>
      <c r="H648" s="440"/>
      <c r="I648" s="455"/>
      <c r="J648" s="455"/>
    </row>
    <row r="649" spans="1:10" x14ac:dyDescent="0.25">
      <c r="A649" s="448" t="s">
        <v>537</v>
      </c>
      <c r="B649" s="449"/>
      <c r="C649" s="449"/>
      <c r="D649" s="450"/>
      <c r="E649" s="451"/>
      <c r="F649" s="451"/>
      <c r="G649" s="451"/>
      <c r="H649" s="451"/>
      <c r="I649" s="445"/>
      <c r="J649" s="445"/>
    </row>
    <row r="650" spans="1:10" x14ac:dyDescent="0.25">
      <c r="A650" s="436"/>
      <c r="B650" s="437"/>
      <c r="C650" s="437"/>
      <c r="D650" s="438"/>
      <c r="E650" s="439"/>
      <c r="F650" s="439"/>
      <c r="G650" s="440"/>
      <c r="H650" s="440"/>
      <c r="I650" s="440"/>
      <c r="J650" s="440"/>
    </row>
    <row r="651" spans="1:10" x14ac:dyDescent="0.25">
      <c r="A651" s="436"/>
      <c r="B651" s="437"/>
      <c r="C651" s="437"/>
      <c r="D651" s="438"/>
      <c r="E651" s="439"/>
      <c r="F651" s="439"/>
      <c r="G651" s="440"/>
      <c r="H651" s="440"/>
      <c r="I651" s="440"/>
      <c r="J651" s="440"/>
    </row>
    <row r="652" spans="1:10" x14ac:dyDescent="0.25">
      <c r="A652" s="436"/>
      <c r="B652" s="437"/>
      <c r="C652" s="437"/>
      <c r="D652" s="438"/>
      <c r="E652" s="439"/>
      <c r="F652" s="439"/>
      <c r="G652" s="440"/>
      <c r="H652" s="440"/>
      <c r="I652" s="440"/>
      <c r="J652" s="440"/>
    </row>
    <row r="653" spans="1:10" x14ac:dyDescent="0.25">
      <c r="A653" s="441" t="s">
        <v>534</v>
      </c>
      <c r="B653" s="442"/>
      <c r="C653" s="442"/>
      <c r="D653" s="443"/>
      <c r="E653" s="444">
        <f>SUM(E643:E652)</f>
        <v>125000</v>
      </c>
      <c r="F653" s="444"/>
      <c r="G653" s="444">
        <f>SUM(G643:G652)</f>
        <v>0</v>
      </c>
      <c r="H653" s="444"/>
      <c r="I653" s="444">
        <f>SUM(I643:I652)</f>
        <v>0</v>
      </c>
      <c r="J653" s="444"/>
    </row>
    <row r="654" spans="1:10" x14ac:dyDescent="0.25">
      <c r="A654" s="494" t="s">
        <v>861</v>
      </c>
      <c r="B654" s="495"/>
      <c r="C654" s="495"/>
      <c r="D654" s="495"/>
      <c r="E654" s="495"/>
      <c r="F654" s="495"/>
      <c r="G654" s="495"/>
      <c r="H654" s="495"/>
      <c r="I654" s="495"/>
      <c r="J654" s="496"/>
    </row>
    <row r="655" spans="1:10" x14ac:dyDescent="0.25">
      <c r="A655" s="497" t="s">
        <v>862</v>
      </c>
      <c r="B655" s="498"/>
      <c r="C655" s="498"/>
      <c r="D655" s="498"/>
      <c r="E655" s="498"/>
      <c r="F655" s="498"/>
      <c r="G655" s="498"/>
      <c r="H655" s="498"/>
      <c r="I655" s="498"/>
      <c r="J655" s="499"/>
    </row>
    <row r="656" spans="1:10" x14ac:dyDescent="0.25">
      <c r="A656" s="497" t="s">
        <v>863</v>
      </c>
      <c r="B656" s="498"/>
      <c r="C656" s="498"/>
      <c r="D656" s="498"/>
      <c r="E656" s="498"/>
      <c r="F656" s="498"/>
      <c r="G656" s="498"/>
      <c r="H656" s="498"/>
      <c r="I656" s="498"/>
      <c r="J656" s="499"/>
    </row>
    <row r="657" spans="1:10" x14ac:dyDescent="0.25">
      <c r="A657" s="500" t="s">
        <v>864</v>
      </c>
      <c r="B657" s="501"/>
      <c r="C657" s="501"/>
      <c r="D657" s="501"/>
      <c r="E657" s="501"/>
      <c r="F657" s="501"/>
      <c r="G657" s="501"/>
      <c r="H657" s="501"/>
      <c r="I657" s="501"/>
      <c r="J657" s="502"/>
    </row>
    <row r="658" spans="1:10" x14ac:dyDescent="0.25">
      <c r="A658" s="305" t="s">
        <v>986</v>
      </c>
      <c r="B658" s="486"/>
      <c r="C658" s="486"/>
      <c r="D658" s="486"/>
      <c r="E658" s="486"/>
      <c r="F658" s="486"/>
      <c r="G658" s="486"/>
      <c r="H658" s="486"/>
      <c r="I658" s="486"/>
      <c r="J658" s="487"/>
    </row>
    <row r="659" spans="1:10" x14ac:dyDescent="0.25">
      <c r="A659" s="488"/>
      <c r="B659" s="553"/>
      <c r="C659" s="553"/>
      <c r="D659" s="553"/>
      <c r="E659" s="553"/>
      <c r="F659" s="553"/>
      <c r="G659" s="553"/>
      <c r="H659" s="553"/>
      <c r="I659" s="553"/>
      <c r="J659" s="490"/>
    </row>
    <row r="660" spans="1:10" x14ac:dyDescent="0.25">
      <c r="A660" s="488"/>
      <c r="B660" s="553"/>
      <c r="C660" s="553"/>
      <c r="D660" s="553"/>
      <c r="E660" s="553"/>
      <c r="F660" s="553"/>
      <c r="G660" s="553"/>
      <c r="H660" s="553"/>
      <c r="I660" s="553"/>
      <c r="J660" s="490"/>
    </row>
    <row r="661" spans="1:10" x14ac:dyDescent="0.25">
      <c r="A661" s="488"/>
      <c r="B661" s="553"/>
      <c r="C661" s="553"/>
      <c r="D661" s="553"/>
      <c r="E661" s="553"/>
      <c r="F661" s="553"/>
      <c r="G661" s="553"/>
      <c r="H661" s="553"/>
      <c r="I661" s="553"/>
      <c r="J661" s="490"/>
    </row>
    <row r="662" spans="1:10" x14ac:dyDescent="0.25">
      <c r="A662" s="488"/>
      <c r="B662" s="553"/>
      <c r="C662" s="553"/>
      <c r="D662" s="553"/>
      <c r="E662" s="553"/>
      <c r="F662" s="553"/>
      <c r="G662" s="553"/>
      <c r="H662" s="553"/>
      <c r="I662" s="553"/>
      <c r="J662" s="490"/>
    </row>
    <row r="663" spans="1:10" x14ac:dyDescent="0.25">
      <c r="A663" s="488"/>
      <c r="B663" s="553"/>
      <c r="C663" s="553"/>
      <c r="D663" s="553"/>
      <c r="E663" s="553"/>
      <c r="F663" s="553"/>
      <c r="G663" s="553"/>
      <c r="H663" s="553"/>
      <c r="I663" s="553"/>
      <c r="J663" s="490"/>
    </row>
    <row r="664" spans="1:10" x14ac:dyDescent="0.25">
      <c r="A664" s="488"/>
      <c r="B664" s="553"/>
      <c r="C664" s="553"/>
      <c r="D664" s="553"/>
      <c r="E664" s="553"/>
      <c r="F664" s="553"/>
      <c r="G664" s="553"/>
      <c r="H664" s="553"/>
      <c r="I664" s="553"/>
      <c r="J664" s="490"/>
    </row>
    <row r="665" spans="1:10" x14ac:dyDescent="0.25">
      <c r="A665" s="488"/>
      <c r="B665" s="553"/>
      <c r="C665" s="553"/>
      <c r="D665" s="553"/>
      <c r="E665" s="553"/>
      <c r="F665" s="553"/>
      <c r="G665" s="553"/>
      <c r="H665" s="553"/>
      <c r="I665" s="553"/>
      <c r="J665" s="490"/>
    </row>
    <row r="666" spans="1:10" x14ac:dyDescent="0.25">
      <c r="A666" s="488"/>
      <c r="B666" s="553"/>
      <c r="C666" s="553"/>
      <c r="D666" s="553"/>
      <c r="E666" s="553"/>
      <c r="F666" s="553"/>
      <c r="G666" s="553"/>
      <c r="H666" s="553"/>
      <c r="I666" s="553"/>
      <c r="J666" s="490"/>
    </row>
    <row r="667" spans="1:10" x14ac:dyDescent="0.25">
      <c r="A667" s="488"/>
      <c r="B667" s="553"/>
      <c r="C667" s="553"/>
      <c r="D667" s="553"/>
      <c r="E667" s="553"/>
      <c r="F667" s="553"/>
      <c r="G667" s="553"/>
      <c r="H667" s="553"/>
      <c r="I667" s="553"/>
      <c r="J667" s="490"/>
    </row>
    <row r="668" spans="1:10" x14ac:dyDescent="0.25">
      <c r="A668" s="488"/>
      <c r="B668" s="553"/>
      <c r="C668" s="553"/>
      <c r="D668" s="553"/>
      <c r="E668" s="553"/>
      <c r="F668" s="553"/>
      <c r="G668" s="553"/>
      <c r="H668" s="553"/>
      <c r="I668" s="553"/>
      <c r="J668" s="490"/>
    </row>
    <row r="669" spans="1:10" x14ac:dyDescent="0.25">
      <c r="A669" s="488"/>
      <c r="B669" s="553"/>
      <c r="C669" s="553"/>
      <c r="D669" s="553"/>
      <c r="E669" s="553"/>
      <c r="F669" s="553"/>
      <c r="G669" s="553"/>
      <c r="H669" s="553"/>
      <c r="I669" s="553"/>
      <c r="J669" s="490"/>
    </row>
    <row r="670" spans="1:10" x14ac:dyDescent="0.25">
      <c r="A670" s="488"/>
      <c r="B670" s="553"/>
      <c r="C670" s="553"/>
      <c r="D670" s="553"/>
      <c r="E670" s="553"/>
      <c r="F670" s="553"/>
      <c r="G670" s="553"/>
      <c r="H670" s="553"/>
      <c r="I670" s="553"/>
      <c r="J670" s="490"/>
    </row>
    <row r="671" spans="1:10" x14ac:dyDescent="0.25">
      <c r="A671" s="488"/>
      <c r="B671" s="553"/>
      <c r="C671" s="553"/>
      <c r="D671" s="553"/>
      <c r="E671" s="553"/>
      <c r="F671" s="553"/>
      <c r="G671" s="553"/>
      <c r="H671" s="553"/>
      <c r="I671" s="553"/>
      <c r="J671" s="490"/>
    </row>
    <row r="672" spans="1:10" x14ac:dyDescent="0.25">
      <c r="A672" s="488"/>
      <c r="B672" s="553"/>
      <c r="C672" s="553"/>
      <c r="D672" s="553"/>
      <c r="E672" s="553"/>
      <c r="F672" s="553"/>
      <c r="G672" s="553"/>
      <c r="H672" s="553"/>
      <c r="I672" s="553"/>
      <c r="J672" s="490"/>
    </row>
    <row r="673" spans="1:10" x14ac:dyDescent="0.25">
      <c r="A673" s="488"/>
      <c r="B673" s="553"/>
      <c r="C673" s="553"/>
      <c r="D673" s="553"/>
      <c r="E673" s="553"/>
      <c r="F673" s="553"/>
      <c r="G673" s="553"/>
      <c r="H673" s="553"/>
      <c r="I673" s="553"/>
      <c r="J673" s="490"/>
    </row>
    <row r="674" spans="1:10" x14ac:dyDescent="0.25">
      <c r="A674" s="488"/>
      <c r="B674" s="553"/>
      <c r="C674" s="553"/>
      <c r="D674" s="553"/>
      <c r="E674" s="553"/>
      <c r="F674" s="553"/>
      <c r="G674" s="553"/>
      <c r="H674" s="553"/>
      <c r="I674" s="553"/>
      <c r="J674" s="490"/>
    </row>
    <row r="675" spans="1:10" x14ac:dyDescent="0.25">
      <c r="A675" s="488"/>
      <c r="B675" s="553"/>
      <c r="C675" s="553"/>
      <c r="D675" s="553"/>
      <c r="E675" s="553"/>
      <c r="F675" s="553"/>
      <c r="G675" s="553"/>
      <c r="H675" s="553"/>
      <c r="I675" s="553"/>
      <c r="J675" s="490"/>
    </row>
    <row r="676" spans="1:10" x14ac:dyDescent="0.25">
      <c r="A676" s="488"/>
      <c r="B676" s="553"/>
      <c r="C676" s="553"/>
      <c r="D676" s="553"/>
      <c r="E676" s="553"/>
      <c r="F676" s="553"/>
      <c r="G676" s="553"/>
      <c r="H676" s="553"/>
      <c r="I676" s="553"/>
      <c r="J676" s="490"/>
    </row>
    <row r="677" spans="1:10" x14ac:dyDescent="0.25">
      <c r="A677" s="488"/>
      <c r="B677" s="553"/>
      <c r="C677" s="553"/>
      <c r="D677" s="553"/>
      <c r="E677" s="553"/>
      <c r="F677" s="553"/>
      <c r="G677" s="553"/>
      <c r="H677" s="553"/>
      <c r="I677" s="553"/>
      <c r="J677" s="490"/>
    </row>
    <row r="678" spans="1:10" x14ac:dyDescent="0.25">
      <c r="A678" s="488"/>
      <c r="B678" s="553"/>
      <c r="C678" s="553"/>
      <c r="D678" s="553"/>
      <c r="E678" s="553"/>
      <c r="F678" s="553"/>
      <c r="G678" s="553"/>
      <c r="H678" s="553"/>
      <c r="I678" s="553"/>
      <c r="J678" s="490"/>
    </row>
    <row r="679" spans="1:10" x14ac:dyDescent="0.25">
      <c r="A679" s="488"/>
      <c r="B679" s="553"/>
      <c r="C679" s="553"/>
      <c r="D679" s="553"/>
      <c r="E679" s="553"/>
      <c r="F679" s="553"/>
      <c r="G679" s="553"/>
      <c r="H679" s="553"/>
      <c r="I679" s="553"/>
      <c r="J679" s="490"/>
    </row>
    <row r="680" spans="1:10" x14ac:dyDescent="0.25">
      <c r="A680" s="488"/>
      <c r="B680" s="553"/>
      <c r="C680" s="553"/>
      <c r="D680" s="553"/>
      <c r="E680" s="553"/>
      <c r="F680" s="553"/>
      <c r="G680" s="553"/>
      <c r="H680" s="553"/>
      <c r="I680" s="553"/>
      <c r="J680" s="490"/>
    </row>
    <row r="681" spans="1:10" x14ac:dyDescent="0.25">
      <c r="A681" s="488"/>
      <c r="B681" s="553"/>
      <c r="C681" s="553"/>
      <c r="D681" s="553"/>
      <c r="E681" s="553"/>
      <c r="F681" s="553"/>
      <c r="G681" s="553"/>
      <c r="H681" s="553"/>
      <c r="I681" s="553"/>
      <c r="J681" s="490"/>
    </row>
    <row r="682" spans="1:10" x14ac:dyDescent="0.25">
      <c r="A682" s="488"/>
      <c r="B682" s="553"/>
      <c r="C682" s="553"/>
      <c r="D682" s="553"/>
      <c r="E682" s="553"/>
      <c r="F682" s="553"/>
      <c r="G682" s="553"/>
      <c r="H682" s="553"/>
      <c r="I682" s="553"/>
      <c r="J682" s="490"/>
    </row>
    <row r="683" spans="1:10" x14ac:dyDescent="0.25">
      <c r="A683" s="488"/>
      <c r="B683" s="553"/>
      <c r="C683" s="553"/>
      <c r="D683" s="553"/>
      <c r="E683" s="553"/>
      <c r="F683" s="553"/>
      <c r="G683" s="553"/>
      <c r="H683" s="553"/>
      <c r="I683" s="553"/>
      <c r="J683" s="490"/>
    </row>
    <row r="684" spans="1:10" x14ac:dyDescent="0.25">
      <c r="A684" s="488"/>
      <c r="B684" s="553"/>
      <c r="C684" s="553"/>
      <c r="D684" s="553"/>
      <c r="E684" s="553"/>
      <c r="F684" s="553"/>
      <c r="G684" s="553"/>
      <c r="H684" s="553"/>
      <c r="I684" s="553"/>
      <c r="J684" s="490"/>
    </row>
    <row r="685" spans="1:10" x14ac:dyDescent="0.25">
      <c r="A685" s="488"/>
      <c r="B685" s="553"/>
      <c r="C685" s="553"/>
      <c r="D685" s="553"/>
      <c r="E685" s="553"/>
      <c r="F685" s="553"/>
      <c r="G685" s="553"/>
      <c r="H685" s="553"/>
      <c r="I685" s="553"/>
      <c r="J685" s="490"/>
    </row>
    <row r="686" spans="1:10" x14ac:dyDescent="0.25">
      <c r="A686" s="488"/>
      <c r="B686" s="553"/>
      <c r="C686" s="553"/>
      <c r="D686" s="553"/>
      <c r="E686" s="553"/>
      <c r="F686" s="553"/>
      <c r="G686" s="553"/>
      <c r="H686" s="553"/>
      <c r="I686" s="553"/>
      <c r="J686" s="490"/>
    </row>
    <row r="687" spans="1:10" x14ac:dyDescent="0.25">
      <c r="A687" s="488"/>
      <c r="B687" s="553"/>
      <c r="C687" s="553"/>
      <c r="D687" s="553"/>
      <c r="E687" s="553"/>
      <c r="F687" s="553"/>
      <c r="G687" s="553"/>
      <c r="H687" s="553"/>
      <c r="I687" s="553"/>
      <c r="J687" s="490"/>
    </row>
    <row r="688" spans="1:10" x14ac:dyDescent="0.25">
      <c r="A688" s="488"/>
      <c r="B688" s="553"/>
      <c r="C688" s="553"/>
      <c r="D688" s="553"/>
      <c r="E688" s="553"/>
      <c r="F688" s="553"/>
      <c r="G688" s="553"/>
      <c r="H688" s="553"/>
      <c r="I688" s="553"/>
      <c r="J688" s="490"/>
    </row>
    <row r="689" spans="1:10" x14ac:dyDescent="0.25">
      <c r="A689" s="488"/>
      <c r="B689" s="553"/>
      <c r="C689" s="553"/>
      <c r="D689" s="553"/>
      <c r="E689" s="553"/>
      <c r="F689" s="553"/>
      <c r="G689" s="553"/>
      <c r="H689" s="553"/>
      <c r="I689" s="553"/>
      <c r="J689" s="490"/>
    </row>
    <row r="690" spans="1:10" x14ac:dyDescent="0.25">
      <c r="A690" s="488"/>
      <c r="B690" s="553"/>
      <c r="C690" s="553"/>
      <c r="D690" s="553"/>
      <c r="E690" s="553"/>
      <c r="F690" s="553"/>
      <c r="G690" s="553"/>
      <c r="H690" s="553"/>
      <c r="I690" s="553"/>
      <c r="J690" s="490"/>
    </row>
    <row r="691" spans="1:10" x14ac:dyDescent="0.25">
      <c r="A691" s="488"/>
      <c r="B691" s="553"/>
      <c r="C691" s="553"/>
      <c r="D691" s="553"/>
      <c r="E691" s="553"/>
      <c r="F691" s="553"/>
      <c r="G691" s="553"/>
      <c r="H691" s="553"/>
      <c r="I691" s="553"/>
      <c r="J691" s="490"/>
    </row>
    <row r="692" spans="1:10" x14ac:dyDescent="0.25">
      <c r="A692" s="491"/>
      <c r="B692" s="492"/>
      <c r="C692" s="492"/>
      <c r="D692" s="492"/>
      <c r="E692" s="492"/>
      <c r="F692" s="492"/>
      <c r="G692" s="492"/>
      <c r="H692" s="492"/>
      <c r="I692" s="492"/>
      <c r="J692" s="493"/>
    </row>
    <row r="694" spans="1:10" ht="15.6" x14ac:dyDescent="0.3">
      <c r="A694" s="355" t="s">
        <v>848</v>
      </c>
      <c r="B694" s="356"/>
      <c r="C694" s="356"/>
      <c r="D694" s="356"/>
      <c r="E694" s="356"/>
      <c r="F694" s="356"/>
      <c r="G694" s="356"/>
      <c r="H694" s="353" t="str">
        <f>'CONTACT INFORMATION'!$A$24</f>
        <v>Alameda</v>
      </c>
      <c r="I694" s="353"/>
      <c r="J694" s="354"/>
    </row>
    <row r="695" spans="1:10" ht="8.1" customHeight="1" x14ac:dyDescent="0.25">
      <c r="A695" s="163"/>
      <c r="B695" s="163"/>
      <c r="C695" s="163"/>
      <c r="D695" s="163"/>
      <c r="E695" s="163"/>
      <c r="F695" s="163"/>
      <c r="G695" s="163"/>
      <c r="H695" s="163"/>
      <c r="I695" s="163"/>
      <c r="J695" s="163"/>
    </row>
    <row r="696" spans="1:10" ht="13.8" x14ac:dyDescent="0.25">
      <c r="A696" s="466" t="s">
        <v>907</v>
      </c>
      <c r="B696" s="467"/>
      <c r="C696" s="467"/>
      <c r="D696" s="467"/>
      <c r="E696" s="467"/>
      <c r="F696" s="467"/>
      <c r="G696" s="467"/>
      <c r="H696" s="467"/>
      <c r="I696" s="467"/>
      <c r="J696" s="468"/>
    </row>
    <row r="697" spans="1:10" x14ac:dyDescent="0.25">
      <c r="A697" s="463" t="s">
        <v>854</v>
      </c>
      <c r="B697" s="464"/>
      <c r="C697" s="464"/>
      <c r="D697" s="465"/>
      <c r="E697" s="556" t="s">
        <v>988</v>
      </c>
      <c r="F697" s="557"/>
      <c r="G697" s="557"/>
      <c r="H697" s="557"/>
      <c r="I697" s="557"/>
      <c r="J697" s="558"/>
    </row>
    <row r="698" spans="1:10" x14ac:dyDescent="0.25">
      <c r="A698" s="503" t="s">
        <v>853</v>
      </c>
      <c r="B698" s="504"/>
      <c r="C698" s="504"/>
      <c r="D698" s="505"/>
      <c r="E698" s="559"/>
      <c r="F698" s="560"/>
      <c r="G698" s="560"/>
      <c r="H698" s="560"/>
      <c r="I698" s="560"/>
      <c r="J698" s="561"/>
    </row>
    <row r="699" spans="1:10" x14ac:dyDescent="0.25">
      <c r="A699" s="541" t="s">
        <v>808</v>
      </c>
      <c r="B699" s="542"/>
      <c r="C699" s="542"/>
      <c r="D699" s="543"/>
      <c r="E699" s="479" t="s">
        <v>326</v>
      </c>
      <c r="F699" s="480"/>
      <c r="G699" s="480"/>
      <c r="H699" s="480"/>
      <c r="I699" s="480"/>
      <c r="J699" s="481"/>
    </row>
    <row r="700" spans="1:10" ht="27" customHeight="1" x14ac:dyDescent="0.25">
      <c r="A700" s="157"/>
      <c r="B700" s="230"/>
      <c r="C700" s="230"/>
      <c r="D700" s="230"/>
      <c r="E700" s="482" t="s">
        <v>535</v>
      </c>
      <c r="F700" s="483"/>
      <c r="G700" s="482" t="s">
        <v>533</v>
      </c>
      <c r="H700" s="483"/>
      <c r="I700" s="484" t="s">
        <v>849</v>
      </c>
      <c r="J700" s="485"/>
    </row>
    <row r="701" spans="1:10" x14ac:dyDescent="0.25">
      <c r="A701" s="448" t="s">
        <v>527</v>
      </c>
      <c r="B701" s="449"/>
      <c r="C701" s="449"/>
      <c r="D701" s="450"/>
      <c r="E701" s="456"/>
      <c r="F701" s="456"/>
      <c r="G701" s="456"/>
      <c r="H701" s="456"/>
      <c r="I701" s="457"/>
      <c r="J701" s="457"/>
    </row>
    <row r="702" spans="1:10" x14ac:dyDescent="0.25">
      <c r="A702" s="452" t="s">
        <v>528</v>
      </c>
      <c r="B702" s="453"/>
      <c r="C702" s="453"/>
      <c r="D702" s="454"/>
      <c r="E702" s="439"/>
      <c r="F702" s="439"/>
      <c r="G702" s="440"/>
      <c r="H702" s="440"/>
      <c r="I702" s="455"/>
      <c r="J702" s="455"/>
    </row>
    <row r="703" spans="1:10" x14ac:dyDescent="0.25">
      <c r="A703" s="448" t="s">
        <v>529</v>
      </c>
      <c r="B703" s="449"/>
      <c r="C703" s="449"/>
      <c r="D703" s="450"/>
      <c r="E703" s="456"/>
      <c r="F703" s="456"/>
      <c r="G703" s="456"/>
      <c r="H703" s="456"/>
      <c r="I703" s="457"/>
      <c r="J703" s="457"/>
    </row>
    <row r="704" spans="1:10" x14ac:dyDescent="0.25">
      <c r="A704" s="452" t="s">
        <v>530</v>
      </c>
      <c r="B704" s="453"/>
      <c r="C704" s="453"/>
      <c r="D704" s="454"/>
      <c r="E704" s="460">
        <v>7735</v>
      </c>
      <c r="F704" s="460"/>
      <c r="G704" s="440"/>
      <c r="H704" s="440"/>
      <c r="I704" s="455"/>
      <c r="J704" s="455"/>
    </row>
    <row r="705" spans="1:10" x14ac:dyDescent="0.25">
      <c r="A705" s="448" t="s">
        <v>531</v>
      </c>
      <c r="B705" s="449"/>
      <c r="C705" s="449"/>
      <c r="D705" s="450"/>
      <c r="E705" s="456"/>
      <c r="F705" s="456"/>
      <c r="G705" s="456"/>
      <c r="H705" s="456"/>
      <c r="I705" s="457"/>
      <c r="J705" s="457"/>
    </row>
    <row r="706" spans="1:10" x14ac:dyDescent="0.25">
      <c r="A706" s="452" t="s">
        <v>532</v>
      </c>
      <c r="B706" s="453"/>
      <c r="C706" s="453"/>
      <c r="D706" s="454"/>
      <c r="E706" s="439"/>
      <c r="F706" s="439"/>
      <c r="G706" s="440"/>
      <c r="H706" s="440"/>
      <c r="I706" s="455"/>
      <c r="J706" s="455"/>
    </row>
    <row r="707" spans="1:10" x14ac:dyDescent="0.25">
      <c r="A707" s="448" t="s">
        <v>537</v>
      </c>
      <c r="B707" s="449"/>
      <c r="C707" s="449"/>
      <c r="D707" s="450"/>
      <c r="E707" s="451"/>
      <c r="F707" s="451"/>
      <c r="G707" s="451"/>
      <c r="H707" s="451"/>
      <c r="I707" s="445"/>
      <c r="J707" s="445"/>
    </row>
    <row r="708" spans="1:10" x14ac:dyDescent="0.25">
      <c r="A708" s="436"/>
      <c r="B708" s="437"/>
      <c r="C708" s="437"/>
      <c r="D708" s="438"/>
      <c r="E708" s="439"/>
      <c r="F708" s="439"/>
      <c r="G708" s="440"/>
      <c r="H708" s="440"/>
      <c r="I708" s="440"/>
      <c r="J708" s="440"/>
    </row>
    <row r="709" spans="1:10" x14ac:dyDescent="0.25">
      <c r="A709" s="436"/>
      <c r="B709" s="437"/>
      <c r="C709" s="437"/>
      <c r="D709" s="438"/>
      <c r="E709" s="439"/>
      <c r="F709" s="439"/>
      <c r="G709" s="440"/>
      <c r="H709" s="440"/>
      <c r="I709" s="440"/>
      <c r="J709" s="440"/>
    </row>
    <row r="710" spans="1:10" x14ac:dyDescent="0.25">
      <c r="A710" s="436"/>
      <c r="B710" s="437"/>
      <c r="C710" s="437"/>
      <c r="D710" s="438"/>
      <c r="E710" s="439"/>
      <c r="F710" s="439"/>
      <c r="G710" s="440"/>
      <c r="H710" s="440"/>
      <c r="I710" s="440"/>
      <c r="J710" s="440"/>
    </row>
    <row r="711" spans="1:10" x14ac:dyDescent="0.25">
      <c r="A711" s="441" t="s">
        <v>534</v>
      </c>
      <c r="B711" s="442"/>
      <c r="C711" s="442"/>
      <c r="D711" s="443"/>
      <c r="E711" s="444">
        <f>SUM(E701:E710)</f>
        <v>7735</v>
      </c>
      <c r="F711" s="444"/>
      <c r="G711" s="444">
        <f>SUM(G701:G710)</f>
        <v>0</v>
      </c>
      <c r="H711" s="444"/>
      <c r="I711" s="444">
        <f>SUM(I701:I710)</f>
        <v>0</v>
      </c>
      <c r="J711" s="444"/>
    </row>
    <row r="712" spans="1:10" x14ac:dyDescent="0.25">
      <c r="A712" s="494" t="s">
        <v>861</v>
      </c>
      <c r="B712" s="495"/>
      <c r="C712" s="495"/>
      <c r="D712" s="495"/>
      <c r="E712" s="495"/>
      <c r="F712" s="495"/>
      <c r="G712" s="495"/>
      <c r="H712" s="495"/>
      <c r="I712" s="495"/>
      <c r="J712" s="496"/>
    </row>
    <row r="713" spans="1:10" x14ac:dyDescent="0.25">
      <c r="A713" s="497" t="s">
        <v>862</v>
      </c>
      <c r="B713" s="498"/>
      <c r="C713" s="498"/>
      <c r="D713" s="498"/>
      <c r="E713" s="498"/>
      <c r="F713" s="498"/>
      <c r="G713" s="498"/>
      <c r="H713" s="498"/>
      <c r="I713" s="498"/>
      <c r="J713" s="499"/>
    </row>
    <row r="714" spans="1:10" x14ac:dyDescent="0.25">
      <c r="A714" s="497" t="s">
        <v>863</v>
      </c>
      <c r="B714" s="498"/>
      <c r="C714" s="498"/>
      <c r="D714" s="498"/>
      <c r="E714" s="498"/>
      <c r="F714" s="498"/>
      <c r="G714" s="498"/>
      <c r="H714" s="498"/>
      <c r="I714" s="498"/>
      <c r="J714" s="499"/>
    </row>
    <row r="715" spans="1:10" x14ac:dyDescent="0.25">
      <c r="A715" s="500" t="s">
        <v>864</v>
      </c>
      <c r="B715" s="501"/>
      <c r="C715" s="501"/>
      <c r="D715" s="501"/>
      <c r="E715" s="501"/>
      <c r="F715" s="501"/>
      <c r="G715" s="501"/>
      <c r="H715" s="501"/>
      <c r="I715" s="501"/>
      <c r="J715" s="502"/>
    </row>
    <row r="716" spans="1:10" x14ac:dyDescent="0.25">
      <c r="A716" s="305" t="s">
        <v>990</v>
      </c>
      <c r="B716" s="486"/>
      <c r="C716" s="486"/>
      <c r="D716" s="486"/>
      <c r="E716" s="486"/>
      <c r="F716" s="486"/>
      <c r="G716" s="486"/>
      <c r="H716" s="486"/>
      <c r="I716" s="486"/>
      <c r="J716" s="487"/>
    </row>
    <row r="717" spans="1:10" x14ac:dyDescent="0.25">
      <c r="A717" s="488"/>
      <c r="B717" s="553"/>
      <c r="C717" s="553"/>
      <c r="D717" s="553"/>
      <c r="E717" s="553"/>
      <c r="F717" s="553"/>
      <c r="G717" s="553"/>
      <c r="H717" s="553"/>
      <c r="I717" s="553"/>
      <c r="J717" s="490"/>
    </row>
    <row r="718" spans="1:10" x14ac:dyDescent="0.25">
      <c r="A718" s="488"/>
      <c r="B718" s="553"/>
      <c r="C718" s="553"/>
      <c r="D718" s="553"/>
      <c r="E718" s="553"/>
      <c r="F718" s="553"/>
      <c r="G718" s="553"/>
      <c r="H718" s="553"/>
      <c r="I718" s="553"/>
      <c r="J718" s="490"/>
    </row>
    <row r="719" spans="1:10" x14ac:dyDescent="0.25">
      <c r="A719" s="488"/>
      <c r="B719" s="553"/>
      <c r="C719" s="553"/>
      <c r="D719" s="553"/>
      <c r="E719" s="553"/>
      <c r="F719" s="553"/>
      <c r="G719" s="553"/>
      <c r="H719" s="553"/>
      <c r="I719" s="553"/>
      <c r="J719" s="490"/>
    </row>
    <row r="720" spans="1:10" x14ac:dyDescent="0.25">
      <c r="A720" s="488"/>
      <c r="B720" s="553"/>
      <c r="C720" s="553"/>
      <c r="D720" s="553"/>
      <c r="E720" s="553"/>
      <c r="F720" s="553"/>
      <c r="G720" s="553"/>
      <c r="H720" s="553"/>
      <c r="I720" s="553"/>
      <c r="J720" s="490"/>
    </row>
    <row r="721" spans="1:10" x14ac:dyDescent="0.25">
      <c r="A721" s="488"/>
      <c r="B721" s="553"/>
      <c r="C721" s="553"/>
      <c r="D721" s="553"/>
      <c r="E721" s="553"/>
      <c r="F721" s="553"/>
      <c r="G721" s="553"/>
      <c r="H721" s="553"/>
      <c r="I721" s="553"/>
      <c r="J721" s="490"/>
    </row>
    <row r="722" spans="1:10" x14ac:dyDescent="0.25">
      <c r="A722" s="488"/>
      <c r="B722" s="553"/>
      <c r="C722" s="553"/>
      <c r="D722" s="553"/>
      <c r="E722" s="553"/>
      <c r="F722" s="553"/>
      <c r="G722" s="553"/>
      <c r="H722" s="553"/>
      <c r="I722" s="553"/>
      <c r="J722" s="490"/>
    </row>
    <row r="723" spans="1:10" x14ac:dyDescent="0.25">
      <c r="A723" s="488"/>
      <c r="B723" s="553"/>
      <c r="C723" s="553"/>
      <c r="D723" s="553"/>
      <c r="E723" s="553"/>
      <c r="F723" s="553"/>
      <c r="G723" s="553"/>
      <c r="H723" s="553"/>
      <c r="I723" s="553"/>
      <c r="J723" s="490"/>
    </row>
    <row r="724" spans="1:10" x14ac:dyDescent="0.25">
      <c r="A724" s="488"/>
      <c r="B724" s="553"/>
      <c r="C724" s="553"/>
      <c r="D724" s="553"/>
      <c r="E724" s="553"/>
      <c r="F724" s="553"/>
      <c r="G724" s="553"/>
      <c r="H724" s="553"/>
      <c r="I724" s="553"/>
      <c r="J724" s="490"/>
    </row>
    <row r="725" spans="1:10" x14ac:dyDescent="0.25">
      <c r="A725" s="488"/>
      <c r="B725" s="553"/>
      <c r="C725" s="553"/>
      <c r="D725" s="553"/>
      <c r="E725" s="553"/>
      <c r="F725" s="553"/>
      <c r="G725" s="553"/>
      <c r="H725" s="553"/>
      <c r="I725" s="553"/>
      <c r="J725" s="490"/>
    </row>
    <row r="726" spans="1:10" x14ac:dyDescent="0.25">
      <c r="A726" s="488"/>
      <c r="B726" s="553"/>
      <c r="C726" s="553"/>
      <c r="D726" s="553"/>
      <c r="E726" s="553"/>
      <c r="F726" s="553"/>
      <c r="G726" s="553"/>
      <c r="H726" s="553"/>
      <c r="I726" s="553"/>
      <c r="J726" s="490"/>
    </row>
    <row r="727" spans="1:10" x14ac:dyDescent="0.25">
      <c r="A727" s="488"/>
      <c r="B727" s="553"/>
      <c r="C727" s="553"/>
      <c r="D727" s="553"/>
      <c r="E727" s="553"/>
      <c r="F727" s="553"/>
      <c r="G727" s="553"/>
      <c r="H727" s="553"/>
      <c r="I727" s="553"/>
      <c r="J727" s="490"/>
    </row>
    <row r="728" spans="1:10" x14ac:dyDescent="0.25">
      <c r="A728" s="488"/>
      <c r="B728" s="553"/>
      <c r="C728" s="553"/>
      <c r="D728" s="553"/>
      <c r="E728" s="553"/>
      <c r="F728" s="553"/>
      <c r="G728" s="553"/>
      <c r="H728" s="553"/>
      <c r="I728" s="553"/>
      <c r="J728" s="490"/>
    </row>
    <row r="729" spans="1:10" x14ac:dyDescent="0.25">
      <c r="A729" s="488"/>
      <c r="B729" s="553"/>
      <c r="C729" s="553"/>
      <c r="D729" s="553"/>
      <c r="E729" s="553"/>
      <c r="F729" s="553"/>
      <c r="G729" s="553"/>
      <c r="H729" s="553"/>
      <c r="I729" s="553"/>
      <c r="J729" s="490"/>
    </row>
    <row r="730" spans="1:10" x14ac:dyDescent="0.25">
      <c r="A730" s="488"/>
      <c r="B730" s="553"/>
      <c r="C730" s="553"/>
      <c r="D730" s="553"/>
      <c r="E730" s="553"/>
      <c r="F730" s="553"/>
      <c r="G730" s="553"/>
      <c r="H730" s="553"/>
      <c r="I730" s="553"/>
      <c r="J730" s="490"/>
    </row>
    <row r="731" spans="1:10" x14ac:dyDescent="0.25">
      <c r="A731" s="488"/>
      <c r="B731" s="553"/>
      <c r="C731" s="553"/>
      <c r="D731" s="553"/>
      <c r="E731" s="553"/>
      <c r="F731" s="553"/>
      <c r="G731" s="553"/>
      <c r="H731" s="553"/>
      <c r="I731" s="553"/>
      <c r="J731" s="490"/>
    </row>
    <row r="732" spans="1:10" x14ac:dyDescent="0.25">
      <c r="A732" s="488"/>
      <c r="B732" s="553"/>
      <c r="C732" s="553"/>
      <c r="D732" s="553"/>
      <c r="E732" s="553"/>
      <c r="F732" s="553"/>
      <c r="G732" s="553"/>
      <c r="H732" s="553"/>
      <c r="I732" s="553"/>
      <c r="J732" s="490"/>
    </row>
    <row r="733" spans="1:10" x14ac:dyDescent="0.25">
      <c r="A733" s="488"/>
      <c r="B733" s="553"/>
      <c r="C733" s="553"/>
      <c r="D733" s="553"/>
      <c r="E733" s="553"/>
      <c r="F733" s="553"/>
      <c r="G733" s="553"/>
      <c r="H733" s="553"/>
      <c r="I733" s="553"/>
      <c r="J733" s="490"/>
    </row>
    <row r="734" spans="1:10" x14ac:dyDescent="0.25">
      <c r="A734" s="488"/>
      <c r="B734" s="553"/>
      <c r="C734" s="553"/>
      <c r="D734" s="553"/>
      <c r="E734" s="553"/>
      <c r="F734" s="553"/>
      <c r="G734" s="553"/>
      <c r="H734" s="553"/>
      <c r="I734" s="553"/>
      <c r="J734" s="490"/>
    </row>
    <row r="735" spans="1:10" x14ac:dyDescent="0.25">
      <c r="A735" s="488"/>
      <c r="B735" s="553"/>
      <c r="C735" s="553"/>
      <c r="D735" s="553"/>
      <c r="E735" s="553"/>
      <c r="F735" s="553"/>
      <c r="G735" s="553"/>
      <c r="H735" s="553"/>
      <c r="I735" s="553"/>
      <c r="J735" s="490"/>
    </row>
    <row r="736" spans="1:10" x14ac:dyDescent="0.25">
      <c r="A736" s="488"/>
      <c r="B736" s="553"/>
      <c r="C736" s="553"/>
      <c r="D736" s="553"/>
      <c r="E736" s="553"/>
      <c r="F736" s="553"/>
      <c r="G736" s="553"/>
      <c r="H736" s="553"/>
      <c r="I736" s="553"/>
      <c r="J736" s="490"/>
    </row>
    <row r="737" spans="1:10" x14ac:dyDescent="0.25">
      <c r="A737" s="488"/>
      <c r="B737" s="553"/>
      <c r="C737" s="553"/>
      <c r="D737" s="553"/>
      <c r="E737" s="553"/>
      <c r="F737" s="553"/>
      <c r="G737" s="553"/>
      <c r="H737" s="553"/>
      <c r="I737" s="553"/>
      <c r="J737" s="490"/>
    </row>
    <row r="738" spans="1:10" x14ac:dyDescent="0.25">
      <c r="A738" s="488"/>
      <c r="B738" s="553"/>
      <c r="C738" s="553"/>
      <c r="D738" s="553"/>
      <c r="E738" s="553"/>
      <c r="F738" s="553"/>
      <c r="G738" s="553"/>
      <c r="H738" s="553"/>
      <c r="I738" s="553"/>
      <c r="J738" s="490"/>
    </row>
    <row r="739" spans="1:10" x14ac:dyDescent="0.25">
      <c r="A739" s="488"/>
      <c r="B739" s="553"/>
      <c r="C739" s="553"/>
      <c r="D739" s="553"/>
      <c r="E739" s="553"/>
      <c r="F739" s="553"/>
      <c r="G739" s="553"/>
      <c r="H739" s="553"/>
      <c r="I739" s="553"/>
      <c r="J739" s="490"/>
    </row>
    <row r="740" spans="1:10" x14ac:dyDescent="0.25">
      <c r="A740" s="488"/>
      <c r="B740" s="553"/>
      <c r="C740" s="553"/>
      <c r="D740" s="553"/>
      <c r="E740" s="553"/>
      <c r="F740" s="553"/>
      <c r="G740" s="553"/>
      <c r="H740" s="553"/>
      <c r="I740" s="553"/>
      <c r="J740" s="490"/>
    </row>
    <row r="741" spans="1:10" x14ac:dyDescent="0.25">
      <c r="A741" s="488"/>
      <c r="B741" s="553"/>
      <c r="C741" s="553"/>
      <c r="D741" s="553"/>
      <c r="E741" s="553"/>
      <c r="F741" s="553"/>
      <c r="G741" s="553"/>
      <c r="H741" s="553"/>
      <c r="I741" s="553"/>
      <c r="J741" s="490"/>
    </row>
    <row r="742" spans="1:10" x14ac:dyDescent="0.25">
      <c r="A742" s="488"/>
      <c r="B742" s="553"/>
      <c r="C742" s="553"/>
      <c r="D742" s="553"/>
      <c r="E742" s="553"/>
      <c r="F742" s="553"/>
      <c r="G742" s="553"/>
      <c r="H742" s="553"/>
      <c r="I742" s="553"/>
      <c r="J742" s="490"/>
    </row>
    <row r="743" spans="1:10" x14ac:dyDescent="0.25">
      <c r="A743" s="488"/>
      <c r="B743" s="553"/>
      <c r="C743" s="553"/>
      <c r="D743" s="553"/>
      <c r="E743" s="553"/>
      <c r="F743" s="553"/>
      <c r="G743" s="553"/>
      <c r="H743" s="553"/>
      <c r="I743" s="553"/>
      <c r="J743" s="490"/>
    </row>
    <row r="744" spans="1:10" x14ac:dyDescent="0.25">
      <c r="A744" s="488"/>
      <c r="B744" s="553"/>
      <c r="C744" s="553"/>
      <c r="D744" s="553"/>
      <c r="E744" s="553"/>
      <c r="F744" s="553"/>
      <c r="G744" s="553"/>
      <c r="H744" s="553"/>
      <c r="I744" s="553"/>
      <c r="J744" s="490"/>
    </row>
    <row r="745" spans="1:10" x14ac:dyDescent="0.25">
      <c r="A745" s="488"/>
      <c r="B745" s="553"/>
      <c r="C745" s="553"/>
      <c r="D745" s="553"/>
      <c r="E745" s="553"/>
      <c r="F745" s="553"/>
      <c r="G745" s="553"/>
      <c r="H745" s="553"/>
      <c r="I745" s="553"/>
      <c r="J745" s="490"/>
    </row>
    <row r="746" spans="1:10" x14ac:dyDescent="0.25">
      <c r="A746" s="488"/>
      <c r="B746" s="553"/>
      <c r="C746" s="553"/>
      <c r="D746" s="553"/>
      <c r="E746" s="553"/>
      <c r="F746" s="553"/>
      <c r="G746" s="553"/>
      <c r="H746" s="553"/>
      <c r="I746" s="553"/>
      <c r="J746" s="490"/>
    </row>
    <row r="747" spans="1:10" x14ac:dyDescent="0.25">
      <c r="A747" s="488"/>
      <c r="B747" s="553"/>
      <c r="C747" s="553"/>
      <c r="D747" s="553"/>
      <c r="E747" s="553"/>
      <c r="F747" s="553"/>
      <c r="G747" s="553"/>
      <c r="H747" s="553"/>
      <c r="I747" s="553"/>
      <c r="J747" s="490"/>
    </row>
    <row r="748" spans="1:10" x14ac:dyDescent="0.25">
      <c r="A748" s="488"/>
      <c r="B748" s="553"/>
      <c r="C748" s="553"/>
      <c r="D748" s="553"/>
      <c r="E748" s="553"/>
      <c r="F748" s="553"/>
      <c r="G748" s="553"/>
      <c r="H748" s="553"/>
      <c r="I748" s="553"/>
      <c r="J748" s="490"/>
    </row>
    <row r="749" spans="1:10" x14ac:dyDescent="0.25">
      <c r="A749" s="488"/>
      <c r="B749" s="553"/>
      <c r="C749" s="553"/>
      <c r="D749" s="553"/>
      <c r="E749" s="553"/>
      <c r="F749" s="553"/>
      <c r="G749" s="553"/>
      <c r="H749" s="553"/>
      <c r="I749" s="553"/>
      <c r="J749" s="490"/>
    </row>
    <row r="750" spans="1:10" x14ac:dyDescent="0.25">
      <c r="A750" s="491"/>
      <c r="B750" s="492"/>
      <c r="C750" s="492"/>
      <c r="D750" s="492"/>
      <c r="E750" s="492"/>
      <c r="F750" s="492"/>
      <c r="G750" s="492"/>
      <c r="H750" s="492"/>
      <c r="I750" s="492"/>
      <c r="J750" s="493"/>
    </row>
    <row r="752" spans="1:10" ht="15.6" x14ac:dyDescent="0.3">
      <c r="A752" s="355" t="s">
        <v>848</v>
      </c>
      <c r="B752" s="356"/>
      <c r="C752" s="356"/>
      <c r="D752" s="356"/>
      <c r="E752" s="356"/>
      <c r="F752" s="356"/>
      <c r="G752" s="356"/>
      <c r="H752" s="353" t="str">
        <f>'CONTACT INFORMATION'!$A$24</f>
        <v>Alameda</v>
      </c>
      <c r="I752" s="353"/>
      <c r="J752" s="354"/>
    </row>
    <row r="753" spans="1:10" ht="8.1" customHeight="1" x14ac:dyDescent="0.25">
      <c r="A753" s="163"/>
      <c r="B753" s="163"/>
      <c r="C753" s="163"/>
      <c r="D753" s="163"/>
      <c r="E753" s="163"/>
      <c r="F753" s="163"/>
      <c r="G753" s="163"/>
      <c r="H753" s="163"/>
      <c r="I753" s="163"/>
      <c r="J753" s="163"/>
    </row>
    <row r="754" spans="1:10" ht="13.8" x14ac:dyDescent="0.25">
      <c r="A754" s="466" t="s">
        <v>908</v>
      </c>
      <c r="B754" s="467"/>
      <c r="C754" s="467"/>
      <c r="D754" s="467"/>
      <c r="E754" s="467"/>
      <c r="F754" s="467"/>
      <c r="G754" s="467"/>
      <c r="H754" s="467"/>
      <c r="I754" s="467"/>
      <c r="J754" s="468"/>
    </row>
    <row r="755" spans="1:10" x14ac:dyDescent="0.25">
      <c r="A755" s="463" t="s">
        <v>854</v>
      </c>
      <c r="B755" s="464"/>
      <c r="C755" s="464"/>
      <c r="D755" s="465"/>
      <c r="E755" s="544" t="s">
        <v>965</v>
      </c>
      <c r="F755" s="545"/>
      <c r="G755" s="545"/>
      <c r="H755" s="545"/>
      <c r="I755" s="545"/>
      <c r="J755" s="546"/>
    </row>
    <row r="756" spans="1:10" x14ac:dyDescent="0.25">
      <c r="A756" s="503" t="s">
        <v>853</v>
      </c>
      <c r="B756" s="504"/>
      <c r="C756" s="504"/>
      <c r="D756" s="505"/>
      <c r="E756" s="547"/>
      <c r="F756" s="548"/>
      <c r="G756" s="548"/>
      <c r="H756" s="548"/>
      <c r="I756" s="548"/>
      <c r="J756" s="549"/>
    </row>
    <row r="757" spans="1:10" x14ac:dyDescent="0.25">
      <c r="A757" s="541" t="s">
        <v>808</v>
      </c>
      <c r="B757" s="542"/>
      <c r="C757" s="542"/>
      <c r="D757" s="543"/>
      <c r="E757" s="479" t="s">
        <v>510</v>
      </c>
      <c r="F757" s="480"/>
      <c r="G757" s="480"/>
      <c r="H757" s="480"/>
      <c r="I757" s="480"/>
      <c r="J757" s="481"/>
    </row>
    <row r="758" spans="1:10" ht="27" customHeight="1" x14ac:dyDescent="0.25">
      <c r="A758" s="157"/>
      <c r="B758" s="230"/>
      <c r="C758" s="230"/>
      <c r="D758" s="230"/>
      <c r="E758" s="482" t="s">
        <v>535</v>
      </c>
      <c r="F758" s="483"/>
      <c r="G758" s="482" t="s">
        <v>533</v>
      </c>
      <c r="H758" s="483"/>
      <c r="I758" s="484" t="s">
        <v>849</v>
      </c>
      <c r="J758" s="485"/>
    </row>
    <row r="759" spans="1:10" x14ac:dyDescent="0.25">
      <c r="A759" s="448" t="s">
        <v>527</v>
      </c>
      <c r="B759" s="449"/>
      <c r="C759" s="449"/>
      <c r="D759" s="450"/>
      <c r="E759" s="456"/>
      <c r="F759" s="456"/>
      <c r="G759" s="456"/>
      <c r="H759" s="456"/>
      <c r="I759" s="457"/>
      <c r="J759" s="457"/>
    </row>
    <row r="760" spans="1:10" x14ac:dyDescent="0.25">
      <c r="A760" s="452" t="s">
        <v>528</v>
      </c>
      <c r="B760" s="453"/>
      <c r="C760" s="453"/>
      <c r="D760" s="454"/>
      <c r="E760" s="439"/>
      <c r="F760" s="439"/>
      <c r="G760" s="440"/>
      <c r="H760" s="440"/>
      <c r="I760" s="455"/>
      <c r="J760" s="455"/>
    </row>
    <row r="761" spans="1:10" x14ac:dyDescent="0.25">
      <c r="A761" s="448" t="s">
        <v>529</v>
      </c>
      <c r="B761" s="449"/>
      <c r="C761" s="449"/>
      <c r="D761" s="450"/>
      <c r="E761" s="456">
        <v>81600</v>
      </c>
      <c r="F761" s="456"/>
      <c r="G761" s="456"/>
      <c r="H761" s="456"/>
      <c r="I761" s="457"/>
      <c r="J761" s="457"/>
    </row>
    <row r="762" spans="1:10" x14ac:dyDescent="0.25">
      <c r="A762" s="452" t="s">
        <v>530</v>
      </c>
      <c r="B762" s="453"/>
      <c r="C762" s="453"/>
      <c r="D762" s="454"/>
      <c r="E762" s="460"/>
      <c r="F762" s="460"/>
      <c r="G762" s="440"/>
      <c r="H762" s="440"/>
      <c r="I762" s="455"/>
      <c r="J762" s="455"/>
    </row>
    <row r="763" spans="1:10" x14ac:dyDescent="0.25">
      <c r="A763" s="448" t="s">
        <v>531</v>
      </c>
      <c r="B763" s="449"/>
      <c r="C763" s="449"/>
      <c r="D763" s="450"/>
      <c r="E763" s="456"/>
      <c r="F763" s="456"/>
      <c r="G763" s="456"/>
      <c r="H763" s="456"/>
      <c r="I763" s="457"/>
      <c r="J763" s="457"/>
    </row>
    <row r="764" spans="1:10" x14ac:dyDescent="0.25">
      <c r="A764" s="452" t="s">
        <v>532</v>
      </c>
      <c r="B764" s="453"/>
      <c r="C764" s="453"/>
      <c r="D764" s="454"/>
      <c r="E764" s="439"/>
      <c r="F764" s="439"/>
      <c r="G764" s="440"/>
      <c r="H764" s="440"/>
      <c r="I764" s="455"/>
      <c r="J764" s="455"/>
    </row>
    <row r="765" spans="1:10" x14ac:dyDescent="0.25">
      <c r="A765" s="448" t="s">
        <v>537</v>
      </c>
      <c r="B765" s="449"/>
      <c r="C765" s="449"/>
      <c r="D765" s="450"/>
      <c r="E765" s="451"/>
      <c r="F765" s="451"/>
      <c r="G765" s="451"/>
      <c r="H765" s="451"/>
      <c r="I765" s="445"/>
      <c r="J765" s="445"/>
    </row>
    <row r="766" spans="1:10" x14ac:dyDescent="0.25">
      <c r="A766" s="436"/>
      <c r="B766" s="437"/>
      <c r="C766" s="437"/>
      <c r="D766" s="438"/>
      <c r="E766" s="439"/>
      <c r="F766" s="439"/>
      <c r="G766" s="440"/>
      <c r="H766" s="440"/>
      <c r="I766" s="440"/>
      <c r="J766" s="440"/>
    </row>
    <row r="767" spans="1:10" x14ac:dyDescent="0.25">
      <c r="A767" s="436"/>
      <c r="B767" s="437"/>
      <c r="C767" s="437"/>
      <c r="D767" s="438"/>
      <c r="E767" s="439"/>
      <c r="F767" s="439"/>
      <c r="G767" s="440"/>
      <c r="H767" s="440"/>
      <c r="I767" s="440"/>
      <c r="J767" s="440"/>
    </row>
    <row r="768" spans="1:10" x14ac:dyDescent="0.25">
      <c r="A768" s="436"/>
      <c r="B768" s="437"/>
      <c r="C768" s="437"/>
      <c r="D768" s="438"/>
      <c r="E768" s="439"/>
      <c r="F768" s="439"/>
      <c r="G768" s="440"/>
      <c r="H768" s="440"/>
      <c r="I768" s="440"/>
      <c r="J768" s="440"/>
    </row>
    <row r="769" spans="1:10" x14ac:dyDescent="0.25">
      <c r="A769" s="441" t="s">
        <v>534</v>
      </c>
      <c r="B769" s="442"/>
      <c r="C769" s="442"/>
      <c r="D769" s="443"/>
      <c r="E769" s="444">
        <f>SUM(E759:E768)</f>
        <v>81600</v>
      </c>
      <c r="F769" s="444"/>
      <c r="G769" s="444">
        <f>SUM(G759:G768)</f>
        <v>0</v>
      </c>
      <c r="H769" s="444"/>
      <c r="I769" s="444">
        <f>SUM(I759:I768)</f>
        <v>0</v>
      </c>
      <c r="J769" s="444"/>
    </row>
    <row r="770" spans="1:10" x14ac:dyDescent="0.25">
      <c r="A770" s="494" t="s">
        <v>861</v>
      </c>
      <c r="B770" s="495"/>
      <c r="C770" s="495"/>
      <c r="D770" s="495"/>
      <c r="E770" s="495"/>
      <c r="F770" s="495"/>
      <c r="G770" s="495"/>
      <c r="H770" s="495"/>
      <c r="I770" s="495"/>
      <c r="J770" s="496"/>
    </row>
    <row r="771" spans="1:10" x14ac:dyDescent="0.25">
      <c r="A771" s="497" t="s">
        <v>862</v>
      </c>
      <c r="B771" s="498"/>
      <c r="C771" s="498"/>
      <c r="D771" s="498"/>
      <c r="E771" s="498"/>
      <c r="F771" s="498"/>
      <c r="G771" s="498"/>
      <c r="H771" s="498"/>
      <c r="I771" s="498"/>
      <c r="J771" s="499"/>
    </row>
    <row r="772" spans="1:10" x14ac:dyDescent="0.25">
      <c r="A772" s="497" t="s">
        <v>863</v>
      </c>
      <c r="B772" s="498"/>
      <c r="C772" s="498"/>
      <c r="D772" s="498"/>
      <c r="E772" s="498"/>
      <c r="F772" s="498"/>
      <c r="G772" s="498"/>
      <c r="H772" s="498"/>
      <c r="I772" s="498"/>
      <c r="J772" s="499"/>
    </row>
    <row r="773" spans="1:10" x14ac:dyDescent="0.25">
      <c r="A773" s="500" t="s">
        <v>864</v>
      </c>
      <c r="B773" s="501"/>
      <c r="C773" s="501"/>
      <c r="D773" s="501"/>
      <c r="E773" s="501"/>
      <c r="F773" s="501"/>
      <c r="G773" s="501"/>
      <c r="H773" s="501"/>
      <c r="I773" s="501"/>
      <c r="J773" s="502"/>
    </row>
    <row r="774" spans="1:10" ht="13.2" customHeight="1" x14ac:dyDescent="0.25">
      <c r="A774" s="305" t="s">
        <v>987</v>
      </c>
      <c r="B774" s="486"/>
      <c r="C774" s="486"/>
      <c r="D774" s="486"/>
      <c r="E774" s="486"/>
      <c r="F774" s="486"/>
      <c r="G774" s="486"/>
      <c r="H774" s="486"/>
      <c r="I774" s="486"/>
      <c r="J774" s="487"/>
    </row>
    <row r="775" spans="1:10" x14ac:dyDescent="0.25">
      <c r="A775" s="488"/>
      <c r="B775" s="553"/>
      <c r="C775" s="553"/>
      <c r="D775" s="553"/>
      <c r="E775" s="553"/>
      <c r="F775" s="553"/>
      <c r="G775" s="553"/>
      <c r="H775" s="553"/>
      <c r="I775" s="553"/>
      <c r="J775" s="490"/>
    </row>
    <row r="776" spans="1:10" x14ac:dyDescent="0.25">
      <c r="A776" s="488"/>
      <c r="B776" s="553"/>
      <c r="C776" s="553"/>
      <c r="D776" s="553"/>
      <c r="E776" s="553"/>
      <c r="F776" s="553"/>
      <c r="G776" s="553"/>
      <c r="H776" s="553"/>
      <c r="I776" s="553"/>
      <c r="J776" s="490"/>
    </row>
    <row r="777" spans="1:10" x14ac:dyDescent="0.25">
      <c r="A777" s="488"/>
      <c r="B777" s="553"/>
      <c r="C777" s="553"/>
      <c r="D777" s="553"/>
      <c r="E777" s="553"/>
      <c r="F777" s="553"/>
      <c r="G777" s="553"/>
      <c r="H777" s="553"/>
      <c r="I777" s="553"/>
      <c r="J777" s="490"/>
    </row>
    <row r="778" spans="1:10" x14ac:dyDescent="0.25">
      <c r="A778" s="488"/>
      <c r="B778" s="553"/>
      <c r="C778" s="553"/>
      <c r="D778" s="553"/>
      <c r="E778" s="553"/>
      <c r="F778" s="553"/>
      <c r="G778" s="553"/>
      <c r="H778" s="553"/>
      <c r="I778" s="553"/>
      <c r="J778" s="490"/>
    </row>
    <row r="779" spans="1:10" x14ac:dyDescent="0.25">
      <c r="A779" s="488"/>
      <c r="B779" s="553"/>
      <c r="C779" s="553"/>
      <c r="D779" s="553"/>
      <c r="E779" s="553"/>
      <c r="F779" s="553"/>
      <c r="G779" s="553"/>
      <c r="H779" s="553"/>
      <c r="I779" s="553"/>
      <c r="J779" s="490"/>
    </row>
    <row r="780" spans="1:10" x14ac:dyDescent="0.25">
      <c r="A780" s="488"/>
      <c r="B780" s="553"/>
      <c r="C780" s="553"/>
      <c r="D780" s="553"/>
      <c r="E780" s="553"/>
      <c r="F780" s="553"/>
      <c r="G780" s="553"/>
      <c r="H780" s="553"/>
      <c r="I780" s="553"/>
      <c r="J780" s="490"/>
    </row>
    <row r="781" spans="1:10" x14ac:dyDescent="0.25">
      <c r="A781" s="488"/>
      <c r="B781" s="553"/>
      <c r="C781" s="553"/>
      <c r="D781" s="553"/>
      <c r="E781" s="553"/>
      <c r="F781" s="553"/>
      <c r="G781" s="553"/>
      <c r="H781" s="553"/>
      <c r="I781" s="553"/>
      <c r="J781" s="490"/>
    </row>
    <row r="782" spans="1:10" x14ac:dyDescent="0.25">
      <c r="A782" s="488"/>
      <c r="B782" s="553"/>
      <c r="C782" s="553"/>
      <c r="D782" s="553"/>
      <c r="E782" s="553"/>
      <c r="F782" s="553"/>
      <c r="G782" s="553"/>
      <c r="H782" s="553"/>
      <c r="I782" s="553"/>
      <c r="J782" s="490"/>
    </row>
    <row r="783" spans="1:10" x14ac:dyDescent="0.25">
      <c r="A783" s="488"/>
      <c r="B783" s="553"/>
      <c r="C783" s="553"/>
      <c r="D783" s="553"/>
      <c r="E783" s="553"/>
      <c r="F783" s="553"/>
      <c r="G783" s="553"/>
      <c r="H783" s="553"/>
      <c r="I783" s="553"/>
      <c r="J783" s="490"/>
    </row>
    <row r="784" spans="1:10" x14ac:dyDescent="0.25">
      <c r="A784" s="488"/>
      <c r="B784" s="553"/>
      <c r="C784" s="553"/>
      <c r="D784" s="553"/>
      <c r="E784" s="553"/>
      <c r="F784" s="553"/>
      <c r="G784" s="553"/>
      <c r="H784" s="553"/>
      <c r="I784" s="553"/>
      <c r="J784" s="490"/>
    </row>
    <row r="785" spans="1:10" x14ac:dyDescent="0.25">
      <c r="A785" s="488"/>
      <c r="B785" s="553"/>
      <c r="C785" s="553"/>
      <c r="D785" s="553"/>
      <c r="E785" s="553"/>
      <c r="F785" s="553"/>
      <c r="G785" s="553"/>
      <c r="H785" s="553"/>
      <c r="I785" s="553"/>
      <c r="J785" s="490"/>
    </row>
    <row r="786" spans="1:10" x14ac:dyDescent="0.25">
      <c r="A786" s="488"/>
      <c r="B786" s="553"/>
      <c r="C786" s="553"/>
      <c r="D786" s="553"/>
      <c r="E786" s="553"/>
      <c r="F786" s="553"/>
      <c r="G786" s="553"/>
      <c r="H786" s="553"/>
      <c r="I786" s="553"/>
      <c r="J786" s="490"/>
    </row>
    <row r="787" spans="1:10" x14ac:dyDescent="0.25">
      <c r="A787" s="488"/>
      <c r="B787" s="553"/>
      <c r="C787" s="553"/>
      <c r="D787" s="553"/>
      <c r="E787" s="553"/>
      <c r="F787" s="553"/>
      <c r="G787" s="553"/>
      <c r="H787" s="553"/>
      <c r="I787" s="553"/>
      <c r="J787" s="490"/>
    </row>
    <row r="788" spans="1:10" x14ac:dyDescent="0.25">
      <c r="A788" s="488"/>
      <c r="B788" s="553"/>
      <c r="C788" s="553"/>
      <c r="D788" s="553"/>
      <c r="E788" s="553"/>
      <c r="F788" s="553"/>
      <c r="G788" s="553"/>
      <c r="H788" s="553"/>
      <c r="I788" s="553"/>
      <c r="J788" s="490"/>
    </row>
    <row r="789" spans="1:10" x14ac:dyDescent="0.25">
      <c r="A789" s="488"/>
      <c r="B789" s="553"/>
      <c r="C789" s="553"/>
      <c r="D789" s="553"/>
      <c r="E789" s="553"/>
      <c r="F789" s="553"/>
      <c r="G789" s="553"/>
      <c r="H789" s="553"/>
      <c r="I789" s="553"/>
      <c r="J789" s="490"/>
    </row>
    <row r="790" spans="1:10" x14ac:dyDescent="0.25">
      <c r="A790" s="488"/>
      <c r="B790" s="553"/>
      <c r="C790" s="553"/>
      <c r="D790" s="553"/>
      <c r="E790" s="553"/>
      <c r="F790" s="553"/>
      <c r="G790" s="553"/>
      <c r="H790" s="553"/>
      <c r="I790" s="553"/>
      <c r="J790" s="490"/>
    </row>
    <row r="791" spans="1:10" x14ac:dyDescent="0.25">
      <c r="A791" s="488"/>
      <c r="B791" s="553"/>
      <c r="C791" s="553"/>
      <c r="D791" s="553"/>
      <c r="E791" s="553"/>
      <c r="F791" s="553"/>
      <c r="G791" s="553"/>
      <c r="H791" s="553"/>
      <c r="I791" s="553"/>
      <c r="J791" s="490"/>
    </row>
    <row r="792" spans="1:10" x14ac:dyDescent="0.25">
      <c r="A792" s="488"/>
      <c r="B792" s="553"/>
      <c r="C792" s="553"/>
      <c r="D792" s="553"/>
      <c r="E792" s="553"/>
      <c r="F792" s="553"/>
      <c r="G792" s="553"/>
      <c r="H792" s="553"/>
      <c r="I792" s="553"/>
      <c r="J792" s="490"/>
    </row>
    <row r="793" spans="1:10" x14ac:dyDescent="0.25">
      <c r="A793" s="488"/>
      <c r="B793" s="553"/>
      <c r="C793" s="553"/>
      <c r="D793" s="553"/>
      <c r="E793" s="553"/>
      <c r="F793" s="553"/>
      <c r="G793" s="553"/>
      <c r="H793" s="553"/>
      <c r="I793" s="553"/>
      <c r="J793" s="490"/>
    </row>
    <row r="794" spans="1:10" x14ac:dyDescent="0.25">
      <c r="A794" s="488"/>
      <c r="B794" s="553"/>
      <c r="C794" s="553"/>
      <c r="D794" s="553"/>
      <c r="E794" s="553"/>
      <c r="F794" s="553"/>
      <c r="G794" s="553"/>
      <c r="H794" s="553"/>
      <c r="I794" s="553"/>
      <c r="J794" s="490"/>
    </row>
    <row r="795" spans="1:10" x14ac:dyDescent="0.25">
      <c r="A795" s="488"/>
      <c r="B795" s="553"/>
      <c r="C795" s="553"/>
      <c r="D795" s="553"/>
      <c r="E795" s="553"/>
      <c r="F795" s="553"/>
      <c r="G795" s="553"/>
      <c r="H795" s="553"/>
      <c r="I795" s="553"/>
      <c r="J795" s="490"/>
    </row>
    <row r="796" spans="1:10" x14ac:dyDescent="0.25">
      <c r="A796" s="488"/>
      <c r="B796" s="553"/>
      <c r="C796" s="553"/>
      <c r="D796" s="553"/>
      <c r="E796" s="553"/>
      <c r="F796" s="553"/>
      <c r="G796" s="553"/>
      <c r="H796" s="553"/>
      <c r="I796" s="553"/>
      <c r="J796" s="490"/>
    </row>
    <row r="797" spans="1:10" x14ac:dyDescent="0.25">
      <c r="A797" s="488"/>
      <c r="B797" s="553"/>
      <c r="C797" s="553"/>
      <c r="D797" s="553"/>
      <c r="E797" s="553"/>
      <c r="F797" s="553"/>
      <c r="G797" s="553"/>
      <c r="H797" s="553"/>
      <c r="I797" s="553"/>
      <c r="J797" s="490"/>
    </row>
    <row r="798" spans="1:10" x14ac:dyDescent="0.25">
      <c r="A798" s="488"/>
      <c r="B798" s="553"/>
      <c r="C798" s="553"/>
      <c r="D798" s="553"/>
      <c r="E798" s="553"/>
      <c r="F798" s="553"/>
      <c r="G798" s="553"/>
      <c r="H798" s="553"/>
      <c r="I798" s="553"/>
      <c r="J798" s="490"/>
    </row>
    <row r="799" spans="1:10" x14ac:dyDescent="0.25">
      <c r="A799" s="488"/>
      <c r="B799" s="553"/>
      <c r="C799" s="553"/>
      <c r="D799" s="553"/>
      <c r="E799" s="553"/>
      <c r="F799" s="553"/>
      <c r="G799" s="553"/>
      <c r="H799" s="553"/>
      <c r="I799" s="553"/>
      <c r="J799" s="490"/>
    </row>
    <row r="800" spans="1:10" x14ac:dyDescent="0.25">
      <c r="A800" s="488"/>
      <c r="B800" s="553"/>
      <c r="C800" s="553"/>
      <c r="D800" s="553"/>
      <c r="E800" s="553"/>
      <c r="F800" s="553"/>
      <c r="G800" s="553"/>
      <c r="H800" s="553"/>
      <c r="I800" s="553"/>
      <c r="J800" s="490"/>
    </row>
    <row r="801" spans="1:10" x14ac:dyDescent="0.25">
      <c r="A801" s="488"/>
      <c r="B801" s="553"/>
      <c r="C801" s="553"/>
      <c r="D801" s="553"/>
      <c r="E801" s="553"/>
      <c r="F801" s="553"/>
      <c r="G801" s="553"/>
      <c r="H801" s="553"/>
      <c r="I801" s="553"/>
      <c r="J801" s="490"/>
    </row>
    <row r="802" spans="1:10" x14ac:dyDescent="0.25">
      <c r="A802" s="488"/>
      <c r="B802" s="553"/>
      <c r="C802" s="553"/>
      <c r="D802" s="553"/>
      <c r="E802" s="553"/>
      <c r="F802" s="553"/>
      <c r="G802" s="553"/>
      <c r="H802" s="553"/>
      <c r="I802" s="553"/>
      <c r="J802" s="490"/>
    </row>
    <row r="803" spans="1:10" x14ac:dyDescent="0.25">
      <c r="A803" s="488"/>
      <c r="B803" s="553"/>
      <c r="C803" s="553"/>
      <c r="D803" s="553"/>
      <c r="E803" s="553"/>
      <c r="F803" s="553"/>
      <c r="G803" s="553"/>
      <c r="H803" s="553"/>
      <c r="I803" s="553"/>
      <c r="J803" s="490"/>
    </row>
    <row r="804" spans="1:10" x14ac:dyDescent="0.25">
      <c r="A804" s="488"/>
      <c r="B804" s="553"/>
      <c r="C804" s="553"/>
      <c r="D804" s="553"/>
      <c r="E804" s="553"/>
      <c r="F804" s="553"/>
      <c r="G804" s="553"/>
      <c r="H804" s="553"/>
      <c r="I804" s="553"/>
      <c r="J804" s="490"/>
    </row>
    <row r="805" spans="1:10" x14ac:dyDescent="0.25">
      <c r="A805" s="488"/>
      <c r="B805" s="553"/>
      <c r="C805" s="553"/>
      <c r="D805" s="553"/>
      <c r="E805" s="553"/>
      <c r="F805" s="553"/>
      <c r="G805" s="553"/>
      <c r="H805" s="553"/>
      <c r="I805" s="553"/>
      <c r="J805" s="490"/>
    </row>
    <row r="806" spans="1:10" x14ac:dyDescent="0.25">
      <c r="A806" s="488"/>
      <c r="B806" s="553"/>
      <c r="C806" s="553"/>
      <c r="D806" s="553"/>
      <c r="E806" s="553"/>
      <c r="F806" s="553"/>
      <c r="G806" s="553"/>
      <c r="H806" s="553"/>
      <c r="I806" s="553"/>
      <c r="J806" s="490"/>
    </row>
    <row r="807" spans="1:10" x14ac:dyDescent="0.25">
      <c r="A807" s="488"/>
      <c r="B807" s="553"/>
      <c r="C807" s="553"/>
      <c r="D807" s="553"/>
      <c r="E807" s="553"/>
      <c r="F807" s="553"/>
      <c r="G807" s="553"/>
      <c r="H807" s="553"/>
      <c r="I807" s="553"/>
      <c r="J807" s="490"/>
    </row>
    <row r="808" spans="1:10" x14ac:dyDescent="0.25">
      <c r="A808" s="491"/>
      <c r="B808" s="492"/>
      <c r="C808" s="492"/>
      <c r="D808" s="492"/>
      <c r="E808" s="492"/>
      <c r="F808" s="492"/>
      <c r="G808" s="492"/>
      <c r="H808" s="492"/>
      <c r="I808" s="492"/>
      <c r="J808" s="493"/>
    </row>
    <row r="810" spans="1:10" ht="15.6" x14ac:dyDescent="0.3">
      <c r="A810" s="355" t="s">
        <v>848</v>
      </c>
      <c r="B810" s="356"/>
      <c r="C810" s="356"/>
      <c r="D810" s="356"/>
      <c r="E810" s="356"/>
      <c r="F810" s="356"/>
      <c r="G810" s="356"/>
      <c r="H810" s="353" t="str">
        <f>'CONTACT INFORMATION'!$A$24</f>
        <v>Alameda</v>
      </c>
      <c r="I810" s="353"/>
      <c r="J810" s="354"/>
    </row>
    <row r="811" spans="1:10" ht="8.1" customHeight="1" x14ac:dyDescent="0.25">
      <c r="A811" s="163"/>
      <c r="B811" s="163"/>
      <c r="C811" s="163"/>
      <c r="D811" s="163"/>
      <c r="E811" s="163"/>
      <c r="F811" s="163"/>
      <c r="G811" s="163"/>
      <c r="H811" s="163"/>
      <c r="I811" s="163"/>
      <c r="J811" s="163"/>
    </row>
    <row r="812" spans="1:10" ht="13.8" x14ac:dyDescent="0.25">
      <c r="A812" s="466" t="s">
        <v>909</v>
      </c>
      <c r="B812" s="467"/>
      <c r="C812" s="467"/>
      <c r="D812" s="467"/>
      <c r="E812" s="467"/>
      <c r="F812" s="467"/>
      <c r="G812" s="467"/>
      <c r="H812" s="467"/>
      <c r="I812" s="467"/>
      <c r="J812" s="468"/>
    </row>
    <row r="813" spans="1:10" x14ac:dyDescent="0.25">
      <c r="A813" s="463" t="s">
        <v>854</v>
      </c>
      <c r="B813" s="464"/>
      <c r="C813" s="464"/>
      <c r="D813" s="465"/>
      <c r="E813" s="556" t="s">
        <v>966</v>
      </c>
      <c r="F813" s="557"/>
      <c r="G813" s="557"/>
      <c r="H813" s="557"/>
      <c r="I813" s="557"/>
      <c r="J813" s="558"/>
    </row>
    <row r="814" spans="1:10" x14ac:dyDescent="0.25">
      <c r="A814" s="503" t="s">
        <v>853</v>
      </c>
      <c r="B814" s="504"/>
      <c r="C814" s="504"/>
      <c r="D814" s="505"/>
      <c r="E814" s="559"/>
      <c r="F814" s="560"/>
      <c r="G814" s="560"/>
      <c r="H814" s="560"/>
      <c r="I814" s="560"/>
      <c r="J814" s="561"/>
    </row>
    <row r="815" spans="1:10" x14ac:dyDescent="0.25">
      <c r="A815" s="541" t="s">
        <v>808</v>
      </c>
      <c r="B815" s="542"/>
      <c r="C815" s="542"/>
      <c r="D815" s="543"/>
      <c r="E815" s="479" t="s">
        <v>510</v>
      </c>
      <c r="F815" s="480"/>
      <c r="G815" s="480"/>
      <c r="H815" s="480"/>
      <c r="I815" s="480"/>
      <c r="J815" s="481"/>
    </row>
    <row r="816" spans="1:10" ht="27" customHeight="1" x14ac:dyDescent="0.25">
      <c r="A816" s="157"/>
      <c r="B816" s="230"/>
      <c r="C816" s="230"/>
      <c r="D816" s="230"/>
      <c r="E816" s="482" t="s">
        <v>535</v>
      </c>
      <c r="F816" s="483"/>
      <c r="G816" s="482" t="s">
        <v>533</v>
      </c>
      <c r="H816" s="483"/>
      <c r="I816" s="484" t="s">
        <v>849</v>
      </c>
      <c r="J816" s="485"/>
    </row>
    <row r="817" spans="1:10" x14ac:dyDescent="0.25">
      <c r="A817" s="448" t="s">
        <v>527</v>
      </c>
      <c r="B817" s="449"/>
      <c r="C817" s="449"/>
      <c r="D817" s="450"/>
      <c r="E817" s="456"/>
      <c r="F817" s="456"/>
      <c r="G817" s="456"/>
      <c r="H817" s="456"/>
      <c r="I817" s="457"/>
      <c r="J817" s="457"/>
    </row>
    <row r="818" spans="1:10" x14ac:dyDescent="0.25">
      <c r="A818" s="452" t="s">
        <v>528</v>
      </c>
      <c r="B818" s="453"/>
      <c r="C818" s="453"/>
      <c r="D818" s="454"/>
      <c r="E818" s="439"/>
      <c r="F818" s="439"/>
      <c r="G818" s="440"/>
      <c r="H818" s="440"/>
      <c r="I818" s="455"/>
      <c r="J818" s="455"/>
    </row>
    <row r="819" spans="1:10" x14ac:dyDescent="0.25">
      <c r="A819" s="448" t="s">
        <v>529</v>
      </c>
      <c r="B819" s="449"/>
      <c r="C819" s="449"/>
      <c r="D819" s="450"/>
      <c r="E819" s="456"/>
      <c r="F819" s="456"/>
      <c r="G819" s="456"/>
      <c r="H819" s="456"/>
      <c r="I819" s="457"/>
      <c r="J819" s="457"/>
    </row>
    <row r="820" spans="1:10" x14ac:dyDescent="0.25">
      <c r="A820" s="452" t="s">
        <v>530</v>
      </c>
      <c r="B820" s="453"/>
      <c r="C820" s="453"/>
      <c r="D820" s="454"/>
      <c r="E820" s="460">
        <v>25639</v>
      </c>
      <c r="F820" s="460"/>
      <c r="G820" s="440"/>
      <c r="H820" s="440"/>
      <c r="I820" s="455"/>
      <c r="J820" s="455"/>
    </row>
    <row r="821" spans="1:10" x14ac:dyDescent="0.25">
      <c r="A821" s="448" t="s">
        <v>531</v>
      </c>
      <c r="B821" s="449"/>
      <c r="C821" s="449"/>
      <c r="D821" s="450"/>
      <c r="E821" s="456"/>
      <c r="F821" s="456"/>
      <c r="G821" s="456"/>
      <c r="H821" s="456"/>
      <c r="I821" s="457"/>
      <c r="J821" s="457"/>
    </row>
    <row r="822" spans="1:10" x14ac:dyDescent="0.25">
      <c r="A822" s="452" t="s">
        <v>532</v>
      </c>
      <c r="B822" s="453"/>
      <c r="C822" s="453"/>
      <c r="D822" s="454"/>
      <c r="E822" s="439"/>
      <c r="F822" s="439"/>
      <c r="G822" s="440"/>
      <c r="H822" s="440"/>
      <c r="I822" s="455"/>
      <c r="J822" s="455"/>
    </row>
    <row r="823" spans="1:10" x14ac:dyDescent="0.25">
      <c r="A823" s="448" t="s">
        <v>537</v>
      </c>
      <c r="B823" s="449"/>
      <c r="C823" s="449"/>
      <c r="D823" s="450"/>
      <c r="E823" s="451"/>
      <c r="F823" s="451"/>
      <c r="G823" s="451"/>
      <c r="H823" s="451"/>
      <c r="I823" s="445"/>
      <c r="J823" s="445"/>
    </row>
    <row r="824" spans="1:10" x14ac:dyDescent="0.25">
      <c r="A824" s="436"/>
      <c r="B824" s="437"/>
      <c r="C824" s="437"/>
      <c r="D824" s="438"/>
      <c r="E824" s="439"/>
      <c r="F824" s="439"/>
      <c r="G824" s="440"/>
      <c r="H824" s="440"/>
      <c r="I824" s="440"/>
      <c r="J824" s="440"/>
    </row>
    <row r="825" spans="1:10" x14ac:dyDescent="0.25">
      <c r="A825" s="436"/>
      <c r="B825" s="437"/>
      <c r="C825" s="437"/>
      <c r="D825" s="438"/>
      <c r="E825" s="439"/>
      <c r="F825" s="439"/>
      <c r="G825" s="440"/>
      <c r="H825" s="440"/>
      <c r="I825" s="440"/>
      <c r="J825" s="440"/>
    </row>
    <row r="826" spans="1:10" x14ac:dyDescent="0.25">
      <c r="A826" s="436"/>
      <c r="B826" s="437"/>
      <c r="C826" s="437"/>
      <c r="D826" s="438"/>
      <c r="E826" s="439"/>
      <c r="F826" s="439"/>
      <c r="G826" s="440"/>
      <c r="H826" s="440"/>
      <c r="I826" s="440"/>
      <c r="J826" s="440"/>
    </row>
    <row r="827" spans="1:10" x14ac:dyDescent="0.25">
      <c r="A827" s="441" t="s">
        <v>534</v>
      </c>
      <c r="B827" s="442"/>
      <c r="C827" s="442"/>
      <c r="D827" s="443"/>
      <c r="E827" s="444">
        <f>SUM(E817:E826)</f>
        <v>25639</v>
      </c>
      <c r="F827" s="444"/>
      <c r="G827" s="444">
        <f>SUM(G817:G826)</f>
        <v>0</v>
      </c>
      <c r="H827" s="444"/>
      <c r="I827" s="444">
        <f>SUM(I817:I826)</f>
        <v>0</v>
      </c>
      <c r="J827" s="444"/>
    </row>
    <row r="828" spans="1:10" x14ac:dyDescent="0.25">
      <c r="A828" s="494" t="s">
        <v>861</v>
      </c>
      <c r="B828" s="495"/>
      <c r="C828" s="495"/>
      <c r="D828" s="495"/>
      <c r="E828" s="495"/>
      <c r="F828" s="495"/>
      <c r="G828" s="495"/>
      <c r="H828" s="495"/>
      <c r="I828" s="495"/>
      <c r="J828" s="496"/>
    </row>
    <row r="829" spans="1:10" x14ac:dyDescent="0.25">
      <c r="A829" s="497" t="s">
        <v>862</v>
      </c>
      <c r="B829" s="498"/>
      <c r="C829" s="498"/>
      <c r="D829" s="498"/>
      <c r="E829" s="498"/>
      <c r="F829" s="498"/>
      <c r="G829" s="498"/>
      <c r="H829" s="498"/>
      <c r="I829" s="498"/>
      <c r="J829" s="499"/>
    </row>
    <row r="830" spans="1:10" x14ac:dyDescent="0.25">
      <c r="A830" s="497" t="s">
        <v>863</v>
      </c>
      <c r="B830" s="498"/>
      <c r="C830" s="498"/>
      <c r="D830" s="498"/>
      <c r="E830" s="498"/>
      <c r="F830" s="498"/>
      <c r="G830" s="498"/>
      <c r="H830" s="498"/>
      <c r="I830" s="498"/>
      <c r="J830" s="499"/>
    </row>
    <row r="831" spans="1:10" x14ac:dyDescent="0.25">
      <c r="A831" s="500" t="s">
        <v>864</v>
      </c>
      <c r="B831" s="501"/>
      <c r="C831" s="501"/>
      <c r="D831" s="501"/>
      <c r="E831" s="501"/>
      <c r="F831" s="501"/>
      <c r="G831" s="501"/>
      <c r="H831" s="501"/>
      <c r="I831" s="501"/>
      <c r="J831" s="502"/>
    </row>
    <row r="832" spans="1:10" ht="13.2" customHeight="1" x14ac:dyDescent="0.25">
      <c r="A832" s="305" t="s">
        <v>989</v>
      </c>
      <c r="B832" s="486"/>
      <c r="C832" s="486"/>
      <c r="D832" s="486"/>
      <c r="E832" s="486"/>
      <c r="F832" s="486"/>
      <c r="G832" s="486"/>
      <c r="H832" s="486"/>
      <c r="I832" s="486"/>
      <c r="J832" s="487"/>
    </row>
    <row r="833" spans="1:10" x14ac:dyDescent="0.25">
      <c r="A833" s="488"/>
      <c r="B833" s="553"/>
      <c r="C833" s="553"/>
      <c r="D833" s="553"/>
      <c r="E833" s="553"/>
      <c r="F833" s="553"/>
      <c r="G833" s="553"/>
      <c r="H833" s="553"/>
      <c r="I833" s="553"/>
      <c r="J833" s="490"/>
    </row>
    <row r="834" spans="1:10" x14ac:dyDescent="0.25">
      <c r="A834" s="488"/>
      <c r="B834" s="553"/>
      <c r="C834" s="553"/>
      <c r="D834" s="553"/>
      <c r="E834" s="553"/>
      <c r="F834" s="553"/>
      <c r="G834" s="553"/>
      <c r="H834" s="553"/>
      <c r="I834" s="553"/>
      <c r="J834" s="490"/>
    </row>
    <row r="835" spans="1:10" x14ac:dyDescent="0.25">
      <c r="A835" s="488"/>
      <c r="B835" s="553"/>
      <c r="C835" s="553"/>
      <c r="D835" s="553"/>
      <c r="E835" s="553"/>
      <c r="F835" s="553"/>
      <c r="G835" s="553"/>
      <c r="H835" s="553"/>
      <c r="I835" s="553"/>
      <c r="J835" s="490"/>
    </row>
    <row r="836" spans="1:10" x14ac:dyDescent="0.25">
      <c r="A836" s="488"/>
      <c r="B836" s="553"/>
      <c r="C836" s="553"/>
      <c r="D836" s="553"/>
      <c r="E836" s="553"/>
      <c r="F836" s="553"/>
      <c r="G836" s="553"/>
      <c r="H836" s="553"/>
      <c r="I836" s="553"/>
      <c r="J836" s="490"/>
    </row>
    <row r="837" spans="1:10" x14ac:dyDescent="0.25">
      <c r="A837" s="488"/>
      <c r="B837" s="553"/>
      <c r="C837" s="553"/>
      <c r="D837" s="553"/>
      <c r="E837" s="553"/>
      <c r="F837" s="553"/>
      <c r="G837" s="553"/>
      <c r="H837" s="553"/>
      <c r="I837" s="553"/>
      <c r="J837" s="490"/>
    </row>
    <row r="838" spans="1:10" x14ac:dyDescent="0.25">
      <c r="A838" s="488"/>
      <c r="B838" s="553"/>
      <c r="C838" s="553"/>
      <c r="D838" s="553"/>
      <c r="E838" s="553"/>
      <c r="F838" s="553"/>
      <c r="G838" s="553"/>
      <c r="H838" s="553"/>
      <c r="I838" s="553"/>
      <c r="J838" s="490"/>
    </row>
    <row r="839" spans="1:10" x14ac:dyDescent="0.25">
      <c r="A839" s="488"/>
      <c r="B839" s="553"/>
      <c r="C839" s="553"/>
      <c r="D839" s="553"/>
      <c r="E839" s="553"/>
      <c r="F839" s="553"/>
      <c r="G839" s="553"/>
      <c r="H839" s="553"/>
      <c r="I839" s="553"/>
      <c r="J839" s="490"/>
    </row>
    <row r="840" spans="1:10" x14ac:dyDescent="0.25">
      <c r="A840" s="488"/>
      <c r="B840" s="553"/>
      <c r="C840" s="553"/>
      <c r="D840" s="553"/>
      <c r="E840" s="553"/>
      <c r="F840" s="553"/>
      <c r="G840" s="553"/>
      <c r="H840" s="553"/>
      <c r="I840" s="553"/>
      <c r="J840" s="490"/>
    </row>
    <row r="841" spans="1:10" x14ac:dyDescent="0.25">
      <c r="A841" s="488"/>
      <c r="B841" s="553"/>
      <c r="C841" s="553"/>
      <c r="D841" s="553"/>
      <c r="E841" s="553"/>
      <c r="F841" s="553"/>
      <c r="G841" s="553"/>
      <c r="H841" s="553"/>
      <c r="I841" s="553"/>
      <c r="J841" s="490"/>
    </row>
    <row r="842" spans="1:10" x14ac:dyDescent="0.25">
      <c r="A842" s="488"/>
      <c r="B842" s="553"/>
      <c r="C842" s="553"/>
      <c r="D842" s="553"/>
      <c r="E842" s="553"/>
      <c r="F842" s="553"/>
      <c r="G842" s="553"/>
      <c r="H842" s="553"/>
      <c r="I842" s="553"/>
      <c r="J842" s="490"/>
    </row>
    <row r="843" spans="1:10" x14ac:dyDescent="0.25">
      <c r="A843" s="488"/>
      <c r="B843" s="553"/>
      <c r="C843" s="553"/>
      <c r="D843" s="553"/>
      <c r="E843" s="553"/>
      <c r="F843" s="553"/>
      <c r="G843" s="553"/>
      <c r="H843" s="553"/>
      <c r="I843" s="553"/>
      <c r="J843" s="490"/>
    </row>
    <row r="844" spans="1:10" x14ac:dyDescent="0.25">
      <c r="A844" s="488"/>
      <c r="B844" s="553"/>
      <c r="C844" s="553"/>
      <c r="D844" s="553"/>
      <c r="E844" s="553"/>
      <c r="F844" s="553"/>
      <c r="G844" s="553"/>
      <c r="H844" s="553"/>
      <c r="I844" s="553"/>
      <c r="J844" s="490"/>
    </row>
    <row r="845" spans="1:10" x14ac:dyDescent="0.25">
      <c r="A845" s="488"/>
      <c r="B845" s="553"/>
      <c r="C845" s="553"/>
      <c r="D845" s="553"/>
      <c r="E845" s="553"/>
      <c r="F845" s="553"/>
      <c r="G845" s="553"/>
      <c r="H845" s="553"/>
      <c r="I845" s="553"/>
      <c r="J845" s="490"/>
    </row>
    <row r="846" spans="1:10" x14ac:dyDescent="0.25">
      <c r="A846" s="488"/>
      <c r="B846" s="553"/>
      <c r="C846" s="553"/>
      <c r="D846" s="553"/>
      <c r="E846" s="553"/>
      <c r="F846" s="553"/>
      <c r="G846" s="553"/>
      <c r="H846" s="553"/>
      <c r="I846" s="553"/>
      <c r="J846" s="490"/>
    </row>
    <row r="847" spans="1:10" x14ac:dyDescent="0.25">
      <c r="A847" s="488"/>
      <c r="B847" s="553"/>
      <c r="C847" s="553"/>
      <c r="D847" s="553"/>
      <c r="E847" s="553"/>
      <c r="F847" s="553"/>
      <c r="G847" s="553"/>
      <c r="H847" s="553"/>
      <c r="I847" s="553"/>
      <c r="J847" s="490"/>
    </row>
    <row r="848" spans="1:10" x14ac:dyDescent="0.25">
      <c r="A848" s="488"/>
      <c r="B848" s="553"/>
      <c r="C848" s="553"/>
      <c r="D848" s="553"/>
      <c r="E848" s="553"/>
      <c r="F848" s="553"/>
      <c r="G848" s="553"/>
      <c r="H848" s="553"/>
      <c r="I848" s="553"/>
      <c r="J848" s="490"/>
    </row>
    <row r="849" spans="1:10" x14ac:dyDescent="0.25">
      <c r="A849" s="488"/>
      <c r="B849" s="553"/>
      <c r="C849" s="553"/>
      <c r="D849" s="553"/>
      <c r="E849" s="553"/>
      <c r="F849" s="553"/>
      <c r="G849" s="553"/>
      <c r="H849" s="553"/>
      <c r="I849" s="553"/>
      <c r="J849" s="490"/>
    </row>
    <row r="850" spans="1:10" x14ac:dyDescent="0.25">
      <c r="A850" s="488"/>
      <c r="B850" s="553"/>
      <c r="C850" s="553"/>
      <c r="D850" s="553"/>
      <c r="E850" s="553"/>
      <c r="F850" s="553"/>
      <c r="G850" s="553"/>
      <c r="H850" s="553"/>
      <c r="I850" s="553"/>
      <c r="J850" s="490"/>
    </row>
    <row r="851" spans="1:10" x14ac:dyDescent="0.25">
      <c r="A851" s="488"/>
      <c r="B851" s="553"/>
      <c r="C851" s="553"/>
      <c r="D851" s="553"/>
      <c r="E851" s="553"/>
      <c r="F851" s="553"/>
      <c r="G851" s="553"/>
      <c r="H851" s="553"/>
      <c r="I851" s="553"/>
      <c r="J851" s="490"/>
    </row>
    <row r="852" spans="1:10" x14ac:dyDescent="0.25">
      <c r="A852" s="488"/>
      <c r="B852" s="553"/>
      <c r="C852" s="553"/>
      <c r="D852" s="553"/>
      <c r="E852" s="553"/>
      <c r="F852" s="553"/>
      <c r="G852" s="553"/>
      <c r="H852" s="553"/>
      <c r="I852" s="553"/>
      <c r="J852" s="490"/>
    </row>
    <row r="853" spans="1:10" x14ac:dyDescent="0.25">
      <c r="A853" s="488"/>
      <c r="B853" s="553"/>
      <c r="C853" s="553"/>
      <c r="D853" s="553"/>
      <c r="E853" s="553"/>
      <c r="F853" s="553"/>
      <c r="G853" s="553"/>
      <c r="H853" s="553"/>
      <c r="I853" s="553"/>
      <c r="J853" s="490"/>
    </row>
    <row r="854" spans="1:10" x14ac:dyDescent="0.25">
      <c r="A854" s="488"/>
      <c r="B854" s="553"/>
      <c r="C854" s="553"/>
      <c r="D854" s="553"/>
      <c r="E854" s="553"/>
      <c r="F854" s="553"/>
      <c r="G854" s="553"/>
      <c r="H854" s="553"/>
      <c r="I854" s="553"/>
      <c r="J854" s="490"/>
    </row>
    <row r="855" spans="1:10" x14ac:dyDescent="0.25">
      <c r="A855" s="488"/>
      <c r="B855" s="553"/>
      <c r="C855" s="553"/>
      <c r="D855" s="553"/>
      <c r="E855" s="553"/>
      <c r="F855" s="553"/>
      <c r="G855" s="553"/>
      <c r="H855" s="553"/>
      <c r="I855" s="553"/>
      <c r="J855" s="490"/>
    </row>
    <row r="856" spans="1:10" x14ac:dyDescent="0.25">
      <c r="A856" s="488"/>
      <c r="B856" s="553"/>
      <c r="C856" s="553"/>
      <c r="D856" s="553"/>
      <c r="E856" s="553"/>
      <c r="F856" s="553"/>
      <c r="G856" s="553"/>
      <c r="H856" s="553"/>
      <c r="I856" s="553"/>
      <c r="J856" s="490"/>
    </row>
    <row r="857" spans="1:10" x14ac:dyDescent="0.25">
      <c r="A857" s="488"/>
      <c r="B857" s="553"/>
      <c r="C857" s="553"/>
      <c r="D857" s="553"/>
      <c r="E857" s="553"/>
      <c r="F857" s="553"/>
      <c r="G857" s="553"/>
      <c r="H857" s="553"/>
      <c r="I857" s="553"/>
      <c r="J857" s="490"/>
    </row>
    <row r="858" spans="1:10" x14ac:dyDescent="0.25">
      <c r="A858" s="488"/>
      <c r="B858" s="553"/>
      <c r="C858" s="553"/>
      <c r="D858" s="553"/>
      <c r="E858" s="553"/>
      <c r="F858" s="553"/>
      <c r="G858" s="553"/>
      <c r="H858" s="553"/>
      <c r="I858" s="553"/>
      <c r="J858" s="490"/>
    </row>
    <row r="859" spans="1:10" x14ac:dyDescent="0.25">
      <c r="A859" s="488"/>
      <c r="B859" s="553"/>
      <c r="C859" s="553"/>
      <c r="D859" s="553"/>
      <c r="E859" s="553"/>
      <c r="F859" s="553"/>
      <c r="G859" s="553"/>
      <c r="H859" s="553"/>
      <c r="I859" s="553"/>
      <c r="J859" s="490"/>
    </row>
    <row r="860" spans="1:10" x14ac:dyDescent="0.25">
      <c r="A860" s="488"/>
      <c r="B860" s="553"/>
      <c r="C860" s="553"/>
      <c r="D860" s="553"/>
      <c r="E860" s="553"/>
      <c r="F860" s="553"/>
      <c r="G860" s="553"/>
      <c r="H860" s="553"/>
      <c r="I860" s="553"/>
      <c r="J860" s="490"/>
    </row>
    <row r="861" spans="1:10" x14ac:dyDescent="0.25">
      <c r="A861" s="488"/>
      <c r="B861" s="553"/>
      <c r="C861" s="553"/>
      <c r="D861" s="553"/>
      <c r="E861" s="553"/>
      <c r="F861" s="553"/>
      <c r="G861" s="553"/>
      <c r="H861" s="553"/>
      <c r="I861" s="553"/>
      <c r="J861" s="490"/>
    </row>
    <row r="862" spans="1:10" x14ac:dyDescent="0.25">
      <c r="A862" s="488"/>
      <c r="B862" s="553"/>
      <c r="C862" s="553"/>
      <c r="D862" s="553"/>
      <c r="E862" s="553"/>
      <c r="F862" s="553"/>
      <c r="G862" s="553"/>
      <c r="H862" s="553"/>
      <c r="I862" s="553"/>
      <c r="J862" s="490"/>
    </row>
    <row r="863" spans="1:10" x14ac:dyDescent="0.25">
      <c r="A863" s="488"/>
      <c r="B863" s="553"/>
      <c r="C863" s="553"/>
      <c r="D863" s="553"/>
      <c r="E863" s="553"/>
      <c r="F863" s="553"/>
      <c r="G863" s="553"/>
      <c r="H863" s="553"/>
      <c r="I863" s="553"/>
      <c r="J863" s="490"/>
    </row>
    <row r="864" spans="1:10" x14ac:dyDescent="0.25">
      <c r="A864" s="488"/>
      <c r="B864" s="553"/>
      <c r="C864" s="553"/>
      <c r="D864" s="553"/>
      <c r="E864" s="553"/>
      <c r="F864" s="553"/>
      <c r="G864" s="553"/>
      <c r="H864" s="553"/>
      <c r="I864" s="553"/>
      <c r="J864" s="490"/>
    </row>
    <row r="865" spans="1:10" x14ac:dyDescent="0.25">
      <c r="A865" s="488"/>
      <c r="B865" s="553"/>
      <c r="C865" s="553"/>
      <c r="D865" s="553"/>
      <c r="E865" s="553"/>
      <c r="F865" s="553"/>
      <c r="G865" s="553"/>
      <c r="H865" s="553"/>
      <c r="I865" s="553"/>
      <c r="J865" s="490"/>
    </row>
    <row r="866" spans="1:10" x14ac:dyDescent="0.25">
      <c r="A866" s="491"/>
      <c r="B866" s="492"/>
      <c r="C866" s="492"/>
      <c r="D866" s="492"/>
      <c r="E866" s="492"/>
      <c r="F866" s="492"/>
      <c r="G866" s="492"/>
      <c r="H866" s="492"/>
      <c r="I866" s="492"/>
      <c r="J866" s="493"/>
    </row>
    <row r="868" spans="1:10" ht="15.6" x14ac:dyDescent="0.3">
      <c r="A868" s="355" t="s">
        <v>848</v>
      </c>
      <c r="B868" s="356"/>
      <c r="C868" s="356"/>
      <c r="D868" s="356"/>
      <c r="E868" s="356"/>
      <c r="F868" s="356"/>
      <c r="G868" s="356"/>
      <c r="H868" s="353" t="str">
        <f>'CONTACT INFORMATION'!$A$24</f>
        <v>Alameda</v>
      </c>
      <c r="I868" s="353"/>
      <c r="J868" s="354"/>
    </row>
    <row r="869" spans="1:10" ht="8.1" customHeight="1" x14ac:dyDescent="0.25">
      <c r="A869" s="226"/>
      <c r="B869" s="227"/>
      <c r="C869" s="227"/>
      <c r="D869" s="227"/>
      <c r="E869" s="227"/>
      <c r="F869" s="227"/>
      <c r="G869" s="227"/>
      <c r="H869" s="227"/>
      <c r="I869" s="227"/>
      <c r="J869" s="228"/>
    </row>
    <row r="870" spans="1:10" ht="13.8" x14ac:dyDescent="0.25">
      <c r="A870" s="466" t="s">
        <v>910</v>
      </c>
      <c r="B870" s="467"/>
      <c r="C870" s="467"/>
      <c r="D870" s="467"/>
      <c r="E870" s="467"/>
      <c r="F870" s="467"/>
      <c r="G870" s="467"/>
      <c r="H870" s="467"/>
      <c r="I870" s="467"/>
      <c r="J870" s="468"/>
    </row>
    <row r="871" spans="1:10" x14ac:dyDescent="0.25">
      <c r="A871" s="463" t="s">
        <v>854</v>
      </c>
      <c r="B871" s="464"/>
      <c r="C871" s="464"/>
      <c r="D871" s="465"/>
      <c r="E871" s="544" t="s">
        <v>991</v>
      </c>
      <c r="F871" s="545"/>
      <c r="G871" s="545"/>
      <c r="H871" s="545"/>
      <c r="I871" s="545"/>
      <c r="J871" s="546"/>
    </row>
    <row r="872" spans="1:10" x14ac:dyDescent="0.25">
      <c r="A872" s="503" t="s">
        <v>853</v>
      </c>
      <c r="B872" s="504"/>
      <c r="C872" s="504"/>
      <c r="D872" s="505"/>
      <c r="E872" s="547"/>
      <c r="F872" s="548"/>
      <c r="G872" s="548"/>
      <c r="H872" s="548"/>
      <c r="I872" s="548"/>
      <c r="J872" s="549"/>
    </row>
    <row r="873" spans="1:10" x14ac:dyDescent="0.25">
      <c r="A873" s="541" t="s">
        <v>808</v>
      </c>
      <c r="B873" s="542"/>
      <c r="C873" s="542"/>
      <c r="D873" s="543"/>
      <c r="E873" s="479" t="s">
        <v>510</v>
      </c>
      <c r="F873" s="480"/>
      <c r="G873" s="480"/>
      <c r="H873" s="480"/>
      <c r="I873" s="480"/>
      <c r="J873" s="481"/>
    </row>
    <row r="874" spans="1:10" ht="27" customHeight="1" x14ac:dyDescent="0.25">
      <c r="A874" s="157"/>
      <c r="B874" s="230"/>
      <c r="C874" s="230"/>
      <c r="D874" s="230"/>
      <c r="E874" s="482" t="s">
        <v>535</v>
      </c>
      <c r="F874" s="483"/>
      <c r="G874" s="482" t="s">
        <v>533</v>
      </c>
      <c r="H874" s="483"/>
      <c r="I874" s="484" t="s">
        <v>849</v>
      </c>
      <c r="J874" s="485"/>
    </row>
    <row r="875" spans="1:10" x14ac:dyDescent="0.25">
      <c r="A875" s="448" t="s">
        <v>527</v>
      </c>
      <c r="B875" s="449"/>
      <c r="C875" s="449"/>
      <c r="D875" s="450"/>
      <c r="E875" s="456"/>
      <c r="F875" s="456"/>
      <c r="G875" s="456"/>
      <c r="H875" s="456"/>
      <c r="I875" s="457"/>
      <c r="J875" s="457"/>
    </row>
    <row r="876" spans="1:10" x14ac:dyDescent="0.25">
      <c r="A876" s="452" t="s">
        <v>528</v>
      </c>
      <c r="B876" s="453"/>
      <c r="C876" s="453"/>
      <c r="D876" s="454"/>
      <c r="E876" s="439"/>
      <c r="F876" s="439"/>
      <c r="G876" s="440"/>
      <c r="H876" s="440"/>
      <c r="I876" s="455"/>
      <c r="J876" s="455"/>
    </row>
    <row r="877" spans="1:10" x14ac:dyDescent="0.25">
      <c r="A877" s="448" t="s">
        <v>529</v>
      </c>
      <c r="B877" s="449"/>
      <c r="C877" s="449"/>
      <c r="D877" s="450"/>
      <c r="E877" s="456">
        <v>264197</v>
      </c>
      <c r="F877" s="456"/>
      <c r="G877" s="456"/>
      <c r="H877" s="456"/>
      <c r="I877" s="457"/>
      <c r="J877" s="457"/>
    </row>
    <row r="878" spans="1:10" x14ac:dyDescent="0.25">
      <c r="A878" s="452" t="s">
        <v>530</v>
      </c>
      <c r="B878" s="453"/>
      <c r="C878" s="453"/>
      <c r="D878" s="454"/>
      <c r="E878" s="460"/>
      <c r="F878" s="460"/>
      <c r="G878" s="440"/>
      <c r="H878" s="440"/>
      <c r="I878" s="455"/>
      <c r="J878" s="455"/>
    </row>
    <row r="879" spans="1:10" x14ac:dyDescent="0.25">
      <c r="A879" s="448" t="s">
        <v>531</v>
      </c>
      <c r="B879" s="449"/>
      <c r="C879" s="449"/>
      <c r="D879" s="450"/>
      <c r="E879" s="456"/>
      <c r="F879" s="456"/>
      <c r="G879" s="456"/>
      <c r="H879" s="456"/>
      <c r="I879" s="457"/>
      <c r="J879" s="457"/>
    </row>
    <row r="880" spans="1:10" x14ac:dyDescent="0.25">
      <c r="A880" s="452" t="s">
        <v>532</v>
      </c>
      <c r="B880" s="453"/>
      <c r="C880" s="453"/>
      <c r="D880" s="454"/>
      <c r="E880" s="439"/>
      <c r="F880" s="439"/>
      <c r="G880" s="440"/>
      <c r="H880" s="440"/>
      <c r="I880" s="455"/>
      <c r="J880" s="455"/>
    </row>
    <row r="881" spans="1:10" x14ac:dyDescent="0.25">
      <c r="A881" s="448" t="s">
        <v>537</v>
      </c>
      <c r="B881" s="449"/>
      <c r="C881" s="449"/>
      <c r="D881" s="450"/>
      <c r="E881" s="451"/>
      <c r="F881" s="451"/>
      <c r="G881" s="451"/>
      <c r="H881" s="451"/>
      <c r="I881" s="445"/>
      <c r="J881" s="445"/>
    </row>
    <row r="882" spans="1:10" x14ac:dyDescent="0.25">
      <c r="A882" s="436"/>
      <c r="B882" s="437"/>
      <c r="C882" s="437"/>
      <c r="D882" s="438"/>
      <c r="E882" s="439"/>
      <c r="F882" s="439"/>
      <c r="G882" s="440"/>
      <c r="H882" s="440"/>
      <c r="I882" s="440"/>
      <c r="J882" s="440"/>
    </row>
    <row r="883" spans="1:10" x14ac:dyDescent="0.25">
      <c r="A883" s="436"/>
      <c r="B883" s="437"/>
      <c r="C883" s="437"/>
      <c r="D883" s="438"/>
      <c r="E883" s="439"/>
      <c r="F883" s="439"/>
      <c r="G883" s="440"/>
      <c r="H883" s="440"/>
      <c r="I883" s="440"/>
      <c r="J883" s="440"/>
    </row>
    <row r="884" spans="1:10" x14ac:dyDescent="0.25">
      <c r="A884" s="436"/>
      <c r="B884" s="437"/>
      <c r="C884" s="437"/>
      <c r="D884" s="438"/>
      <c r="E884" s="439"/>
      <c r="F884" s="439"/>
      <c r="G884" s="440"/>
      <c r="H884" s="440"/>
      <c r="I884" s="440"/>
      <c r="J884" s="440"/>
    </row>
    <row r="885" spans="1:10" x14ac:dyDescent="0.25">
      <c r="A885" s="441" t="s">
        <v>534</v>
      </c>
      <c r="B885" s="442"/>
      <c r="C885" s="442"/>
      <c r="D885" s="443"/>
      <c r="E885" s="444">
        <f>SUM(E875:E884)</f>
        <v>264197</v>
      </c>
      <c r="F885" s="444"/>
      <c r="G885" s="444">
        <f>SUM(G875:G884)</f>
        <v>0</v>
      </c>
      <c r="H885" s="444"/>
      <c r="I885" s="444">
        <f>SUM(I875:I884)</f>
        <v>0</v>
      </c>
      <c r="J885" s="444"/>
    </row>
    <row r="886" spans="1:10" x14ac:dyDescent="0.25">
      <c r="A886" s="494" t="s">
        <v>861</v>
      </c>
      <c r="B886" s="495"/>
      <c r="C886" s="495"/>
      <c r="D886" s="495"/>
      <c r="E886" s="495"/>
      <c r="F886" s="495"/>
      <c r="G886" s="495"/>
      <c r="H886" s="495"/>
      <c r="I886" s="495"/>
      <c r="J886" s="496"/>
    </row>
    <row r="887" spans="1:10" x14ac:dyDescent="0.25">
      <c r="A887" s="497" t="s">
        <v>862</v>
      </c>
      <c r="B887" s="498"/>
      <c r="C887" s="498"/>
      <c r="D887" s="498"/>
      <c r="E887" s="498"/>
      <c r="F887" s="498"/>
      <c r="G887" s="498"/>
      <c r="H887" s="498"/>
      <c r="I887" s="498"/>
      <c r="J887" s="499"/>
    </row>
    <row r="888" spans="1:10" x14ac:dyDescent="0.25">
      <c r="A888" s="497" t="s">
        <v>863</v>
      </c>
      <c r="B888" s="498"/>
      <c r="C888" s="498"/>
      <c r="D888" s="498"/>
      <c r="E888" s="498"/>
      <c r="F888" s="498"/>
      <c r="G888" s="498"/>
      <c r="H888" s="498"/>
      <c r="I888" s="498"/>
      <c r="J888" s="499"/>
    </row>
    <row r="889" spans="1:10" x14ac:dyDescent="0.25">
      <c r="A889" s="500" t="s">
        <v>864</v>
      </c>
      <c r="B889" s="501"/>
      <c r="C889" s="501"/>
      <c r="D889" s="501"/>
      <c r="E889" s="501"/>
      <c r="F889" s="501"/>
      <c r="G889" s="501"/>
      <c r="H889" s="501"/>
      <c r="I889" s="501"/>
      <c r="J889" s="502"/>
    </row>
    <row r="890" spans="1:10" ht="13.2" customHeight="1" x14ac:dyDescent="0.25">
      <c r="A890" s="305" t="s">
        <v>992</v>
      </c>
      <c r="B890" s="486"/>
      <c r="C890" s="486"/>
      <c r="D890" s="486"/>
      <c r="E890" s="486"/>
      <c r="F890" s="486"/>
      <c r="G890" s="486"/>
      <c r="H890" s="486"/>
      <c r="I890" s="486"/>
      <c r="J890" s="487"/>
    </row>
    <row r="891" spans="1:10" x14ac:dyDescent="0.25">
      <c r="A891" s="488"/>
      <c r="B891" s="553"/>
      <c r="C891" s="553"/>
      <c r="D891" s="553"/>
      <c r="E891" s="553"/>
      <c r="F891" s="553"/>
      <c r="G891" s="553"/>
      <c r="H891" s="553"/>
      <c r="I891" s="553"/>
      <c r="J891" s="490"/>
    </row>
    <row r="892" spans="1:10" x14ac:dyDescent="0.25">
      <c r="A892" s="488"/>
      <c r="B892" s="553"/>
      <c r="C892" s="553"/>
      <c r="D892" s="553"/>
      <c r="E892" s="553"/>
      <c r="F892" s="553"/>
      <c r="G892" s="553"/>
      <c r="H892" s="553"/>
      <c r="I892" s="553"/>
      <c r="J892" s="490"/>
    </row>
    <row r="893" spans="1:10" x14ac:dyDescent="0.25">
      <c r="A893" s="488"/>
      <c r="B893" s="553"/>
      <c r="C893" s="553"/>
      <c r="D893" s="553"/>
      <c r="E893" s="553"/>
      <c r="F893" s="553"/>
      <c r="G893" s="553"/>
      <c r="H893" s="553"/>
      <c r="I893" s="553"/>
      <c r="J893" s="490"/>
    </row>
    <row r="894" spans="1:10" x14ac:dyDescent="0.25">
      <c r="A894" s="488"/>
      <c r="B894" s="553"/>
      <c r="C894" s="553"/>
      <c r="D894" s="553"/>
      <c r="E894" s="553"/>
      <c r="F894" s="553"/>
      <c r="G894" s="553"/>
      <c r="H894" s="553"/>
      <c r="I894" s="553"/>
      <c r="J894" s="490"/>
    </row>
    <row r="895" spans="1:10" x14ac:dyDescent="0.25">
      <c r="A895" s="488"/>
      <c r="B895" s="553"/>
      <c r="C895" s="553"/>
      <c r="D895" s="553"/>
      <c r="E895" s="553"/>
      <c r="F895" s="553"/>
      <c r="G895" s="553"/>
      <c r="H895" s="553"/>
      <c r="I895" s="553"/>
      <c r="J895" s="490"/>
    </row>
    <row r="896" spans="1:10" x14ac:dyDescent="0.25">
      <c r="A896" s="488"/>
      <c r="B896" s="553"/>
      <c r="C896" s="553"/>
      <c r="D896" s="553"/>
      <c r="E896" s="553"/>
      <c r="F896" s="553"/>
      <c r="G896" s="553"/>
      <c r="H896" s="553"/>
      <c r="I896" s="553"/>
      <c r="J896" s="490"/>
    </row>
    <row r="897" spans="1:10" x14ac:dyDescent="0.25">
      <c r="A897" s="488"/>
      <c r="B897" s="553"/>
      <c r="C897" s="553"/>
      <c r="D897" s="553"/>
      <c r="E897" s="553"/>
      <c r="F897" s="553"/>
      <c r="G897" s="553"/>
      <c r="H897" s="553"/>
      <c r="I897" s="553"/>
      <c r="J897" s="490"/>
    </row>
    <row r="898" spans="1:10" x14ac:dyDescent="0.25">
      <c r="A898" s="488"/>
      <c r="B898" s="553"/>
      <c r="C898" s="553"/>
      <c r="D898" s="553"/>
      <c r="E898" s="553"/>
      <c r="F898" s="553"/>
      <c r="G898" s="553"/>
      <c r="H898" s="553"/>
      <c r="I898" s="553"/>
      <c r="J898" s="490"/>
    </row>
    <row r="899" spans="1:10" x14ac:dyDescent="0.25">
      <c r="A899" s="488"/>
      <c r="B899" s="553"/>
      <c r="C899" s="553"/>
      <c r="D899" s="553"/>
      <c r="E899" s="553"/>
      <c r="F899" s="553"/>
      <c r="G899" s="553"/>
      <c r="H899" s="553"/>
      <c r="I899" s="553"/>
      <c r="J899" s="490"/>
    </row>
    <row r="900" spans="1:10" x14ac:dyDescent="0.25">
      <c r="A900" s="488"/>
      <c r="B900" s="553"/>
      <c r="C900" s="553"/>
      <c r="D900" s="553"/>
      <c r="E900" s="553"/>
      <c r="F900" s="553"/>
      <c r="G900" s="553"/>
      <c r="H900" s="553"/>
      <c r="I900" s="553"/>
      <c r="J900" s="490"/>
    </row>
    <row r="901" spans="1:10" x14ac:dyDescent="0.25">
      <c r="A901" s="488"/>
      <c r="B901" s="553"/>
      <c r="C901" s="553"/>
      <c r="D901" s="553"/>
      <c r="E901" s="553"/>
      <c r="F901" s="553"/>
      <c r="G901" s="553"/>
      <c r="H901" s="553"/>
      <c r="I901" s="553"/>
      <c r="J901" s="490"/>
    </row>
    <row r="902" spans="1:10" x14ac:dyDescent="0.25">
      <c r="A902" s="488"/>
      <c r="B902" s="553"/>
      <c r="C902" s="553"/>
      <c r="D902" s="553"/>
      <c r="E902" s="553"/>
      <c r="F902" s="553"/>
      <c r="G902" s="553"/>
      <c r="H902" s="553"/>
      <c r="I902" s="553"/>
      <c r="J902" s="490"/>
    </row>
    <row r="903" spans="1:10" x14ac:dyDescent="0.25">
      <c r="A903" s="488"/>
      <c r="B903" s="553"/>
      <c r="C903" s="553"/>
      <c r="D903" s="553"/>
      <c r="E903" s="553"/>
      <c r="F903" s="553"/>
      <c r="G903" s="553"/>
      <c r="H903" s="553"/>
      <c r="I903" s="553"/>
      <c r="J903" s="490"/>
    </row>
    <row r="904" spans="1:10" x14ac:dyDescent="0.25">
      <c r="A904" s="488"/>
      <c r="B904" s="553"/>
      <c r="C904" s="553"/>
      <c r="D904" s="553"/>
      <c r="E904" s="553"/>
      <c r="F904" s="553"/>
      <c r="G904" s="553"/>
      <c r="H904" s="553"/>
      <c r="I904" s="553"/>
      <c r="J904" s="490"/>
    </row>
    <row r="905" spans="1:10" x14ac:dyDescent="0.25">
      <c r="A905" s="488"/>
      <c r="B905" s="553"/>
      <c r="C905" s="553"/>
      <c r="D905" s="553"/>
      <c r="E905" s="553"/>
      <c r="F905" s="553"/>
      <c r="G905" s="553"/>
      <c r="H905" s="553"/>
      <c r="I905" s="553"/>
      <c r="J905" s="490"/>
    </row>
    <row r="906" spans="1:10" x14ac:dyDescent="0.25">
      <c r="A906" s="488"/>
      <c r="B906" s="553"/>
      <c r="C906" s="553"/>
      <c r="D906" s="553"/>
      <c r="E906" s="553"/>
      <c r="F906" s="553"/>
      <c r="G906" s="553"/>
      <c r="H906" s="553"/>
      <c r="I906" s="553"/>
      <c r="J906" s="490"/>
    </row>
    <row r="907" spans="1:10" x14ac:dyDescent="0.25">
      <c r="A907" s="488"/>
      <c r="B907" s="553"/>
      <c r="C907" s="553"/>
      <c r="D907" s="553"/>
      <c r="E907" s="553"/>
      <c r="F907" s="553"/>
      <c r="G907" s="553"/>
      <c r="H907" s="553"/>
      <c r="I907" s="553"/>
      <c r="J907" s="490"/>
    </row>
    <row r="908" spans="1:10" x14ac:dyDescent="0.25">
      <c r="A908" s="488"/>
      <c r="B908" s="553"/>
      <c r="C908" s="553"/>
      <c r="D908" s="553"/>
      <c r="E908" s="553"/>
      <c r="F908" s="553"/>
      <c r="G908" s="553"/>
      <c r="H908" s="553"/>
      <c r="I908" s="553"/>
      <c r="J908" s="490"/>
    </row>
    <row r="909" spans="1:10" x14ac:dyDescent="0.25">
      <c r="A909" s="488"/>
      <c r="B909" s="553"/>
      <c r="C909" s="553"/>
      <c r="D909" s="553"/>
      <c r="E909" s="553"/>
      <c r="F909" s="553"/>
      <c r="G909" s="553"/>
      <c r="H909" s="553"/>
      <c r="I909" s="553"/>
      <c r="J909" s="490"/>
    </row>
    <row r="910" spans="1:10" x14ac:dyDescent="0.25">
      <c r="A910" s="488"/>
      <c r="B910" s="553"/>
      <c r="C910" s="553"/>
      <c r="D910" s="553"/>
      <c r="E910" s="553"/>
      <c r="F910" s="553"/>
      <c r="G910" s="553"/>
      <c r="H910" s="553"/>
      <c r="I910" s="553"/>
      <c r="J910" s="490"/>
    </row>
    <row r="911" spans="1:10" x14ac:dyDescent="0.25">
      <c r="A911" s="488"/>
      <c r="B911" s="553"/>
      <c r="C911" s="553"/>
      <c r="D911" s="553"/>
      <c r="E911" s="553"/>
      <c r="F911" s="553"/>
      <c r="G911" s="553"/>
      <c r="H911" s="553"/>
      <c r="I911" s="553"/>
      <c r="J911" s="490"/>
    </row>
    <row r="912" spans="1:10" x14ac:dyDescent="0.25">
      <c r="A912" s="488"/>
      <c r="B912" s="553"/>
      <c r="C912" s="553"/>
      <c r="D912" s="553"/>
      <c r="E912" s="553"/>
      <c r="F912" s="553"/>
      <c r="G912" s="553"/>
      <c r="H912" s="553"/>
      <c r="I912" s="553"/>
      <c r="J912" s="490"/>
    </row>
    <row r="913" spans="1:10" x14ac:dyDescent="0.25">
      <c r="A913" s="488"/>
      <c r="B913" s="553"/>
      <c r="C913" s="553"/>
      <c r="D913" s="553"/>
      <c r="E913" s="553"/>
      <c r="F913" s="553"/>
      <c r="G913" s="553"/>
      <c r="H913" s="553"/>
      <c r="I913" s="553"/>
      <c r="J913" s="490"/>
    </row>
    <row r="914" spans="1:10" x14ac:dyDescent="0.25">
      <c r="A914" s="488"/>
      <c r="B914" s="553"/>
      <c r="C914" s="553"/>
      <c r="D914" s="553"/>
      <c r="E914" s="553"/>
      <c r="F914" s="553"/>
      <c r="G914" s="553"/>
      <c r="H914" s="553"/>
      <c r="I914" s="553"/>
      <c r="J914" s="490"/>
    </row>
    <row r="915" spans="1:10" x14ac:dyDescent="0.25">
      <c r="A915" s="488"/>
      <c r="B915" s="553"/>
      <c r="C915" s="553"/>
      <c r="D915" s="553"/>
      <c r="E915" s="553"/>
      <c r="F915" s="553"/>
      <c r="G915" s="553"/>
      <c r="H915" s="553"/>
      <c r="I915" s="553"/>
      <c r="J915" s="490"/>
    </row>
    <row r="916" spans="1:10" x14ac:dyDescent="0.25">
      <c r="A916" s="488"/>
      <c r="B916" s="553"/>
      <c r="C916" s="553"/>
      <c r="D916" s="553"/>
      <c r="E916" s="553"/>
      <c r="F916" s="553"/>
      <c r="G916" s="553"/>
      <c r="H916" s="553"/>
      <c r="I916" s="553"/>
      <c r="J916" s="490"/>
    </row>
    <row r="917" spans="1:10" x14ac:dyDescent="0.25">
      <c r="A917" s="488"/>
      <c r="B917" s="553"/>
      <c r="C917" s="553"/>
      <c r="D917" s="553"/>
      <c r="E917" s="553"/>
      <c r="F917" s="553"/>
      <c r="G917" s="553"/>
      <c r="H917" s="553"/>
      <c r="I917" s="553"/>
      <c r="J917" s="490"/>
    </row>
    <row r="918" spans="1:10" x14ac:dyDescent="0.25">
      <c r="A918" s="488"/>
      <c r="B918" s="553"/>
      <c r="C918" s="553"/>
      <c r="D918" s="553"/>
      <c r="E918" s="553"/>
      <c r="F918" s="553"/>
      <c r="G918" s="553"/>
      <c r="H918" s="553"/>
      <c r="I918" s="553"/>
      <c r="J918" s="490"/>
    </row>
    <row r="919" spans="1:10" x14ac:dyDescent="0.25">
      <c r="A919" s="488"/>
      <c r="B919" s="553"/>
      <c r="C919" s="553"/>
      <c r="D919" s="553"/>
      <c r="E919" s="553"/>
      <c r="F919" s="553"/>
      <c r="G919" s="553"/>
      <c r="H919" s="553"/>
      <c r="I919" s="553"/>
      <c r="J919" s="490"/>
    </row>
    <row r="920" spans="1:10" x14ac:dyDescent="0.25">
      <c r="A920" s="488"/>
      <c r="B920" s="553"/>
      <c r="C920" s="553"/>
      <c r="D920" s="553"/>
      <c r="E920" s="553"/>
      <c r="F920" s="553"/>
      <c r="G920" s="553"/>
      <c r="H920" s="553"/>
      <c r="I920" s="553"/>
      <c r="J920" s="490"/>
    </row>
    <row r="921" spans="1:10" x14ac:dyDescent="0.25">
      <c r="A921" s="488"/>
      <c r="B921" s="553"/>
      <c r="C921" s="553"/>
      <c r="D921" s="553"/>
      <c r="E921" s="553"/>
      <c r="F921" s="553"/>
      <c r="G921" s="553"/>
      <c r="H921" s="553"/>
      <c r="I921" s="553"/>
      <c r="J921" s="490"/>
    </row>
    <row r="922" spans="1:10" x14ac:dyDescent="0.25">
      <c r="A922" s="488"/>
      <c r="B922" s="553"/>
      <c r="C922" s="553"/>
      <c r="D922" s="553"/>
      <c r="E922" s="553"/>
      <c r="F922" s="553"/>
      <c r="G922" s="553"/>
      <c r="H922" s="553"/>
      <c r="I922" s="553"/>
      <c r="J922" s="490"/>
    </row>
    <row r="923" spans="1:10" x14ac:dyDescent="0.25">
      <c r="A923" s="488"/>
      <c r="B923" s="553"/>
      <c r="C923" s="553"/>
      <c r="D923" s="553"/>
      <c r="E923" s="553"/>
      <c r="F923" s="553"/>
      <c r="G923" s="553"/>
      <c r="H923" s="553"/>
      <c r="I923" s="553"/>
      <c r="J923" s="490"/>
    </row>
    <row r="924" spans="1:10" x14ac:dyDescent="0.25">
      <c r="A924" s="491"/>
      <c r="B924" s="492"/>
      <c r="C924" s="492"/>
      <c r="D924" s="492"/>
      <c r="E924" s="492"/>
      <c r="F924" s="492"/>
      <c r="G924" s="492"/>
      <c r="H924" s="492"/>
      <c r="I924" s="492"/>
      <c r="J924" s="493"/>
    </row>
    <row r="926" spans="1:10" ht="15.6" x14ac:dyDescent="0.3">
      <c r="A926" s="355" t="s">
        <v>848</v>
      </c>
      <c r="B926" s="356"/>
      <c r="C926" s="356"/>
      <c r="D926" s="356"/>
      <c r="E926" s="356"/>
      <c r="F926" s="356"/>
      <c r="G926" s="356"/>
      <c r="H926" s="353" t="str">
        <f>'CONTACT INFORMATION'!$A$24</f>
        <v>Alameda</v>
      </c>
      <c r="I926" s="353"/>
      <c r="J926" s="354"/>
    </row>
    <row r="927" spans="1:10" ht="8.4" customHeight="1" x14ac:dyDescent="0.25">
      <c r="A927" s="163"/>
      <c r="B927" s="163"/>
      <c r="C927" s="163"/>
      <c r="D927" s="163"/>
      <c r="E927" s="163"/>
      <c r="F927" s="163"/>
      <c r="G927" s="163"/>
      <c r="H927" s="163"/>
      <c r="I927" s="163"/>
      <c r="J927" s="163"/>
    </row>
    <row r="928" spans="1:10" ht="13.8" x14ac:dyDescent="0.25">
      <c r="A928" s="466" t="s">
        <v>911</v>
      </c>
      <c r="B928" s="467"/>
      <c r="C928" s="467"/>
      <c r="D928" s="467"/>
      <c r="E928" s="467"/>
      <c r="F928" s="467"/>
      <c r="G928" s="467"/>
      <c r="H928" s="467"/>
      <c r="I928" s="467"/>
      <c r="J928" s="468"/>
    </row>
    <row r="929" spans="1:10" x14ac:dyDescent="0.25">
      <c r="A929" s="463" t="s">
        <v>854</v>
      </c>
      <c r="B929" s="464"/>
      <c r="C929" s="464"/>
      <c r="D929" s="465"/>
      <c r="E929" s="544"/>
      <c r="F929" s="545"/>
      <c r="G929" s="545"/>
      <c r="H929" s="545"/>
      <c r="I929" s="545"/>
      <c r="J929" s="546"/>
    </row>
    <row r="930" spans="1:10" x14ac:dyDescent="0.25">
      <c r="A930" s="503" t="s">
        <v>853</v>
      </c>
      <c r="B930" s="504"/>
      <c r="C930" s="504"/>
      <c r="D930" s="505"/>
      <c r="E930" s="547"/>
      <c r="F930" s="548"/>
      <c r="G930" s="548"/>
      <c r="H930" s="548"/>
      <c r="I930" s="548"/>
      <c r="J930" s="549"/>
    </row>
    <row r="931" spans="1:10" x14ac:dyDescent="0.25">
      <c r="A931" s="541" t="s">
        <v>808</v>
      </c>
      <c r="B931" s="542"/>
      <c r="C931" s="542"/>
      <c r="D931" s="543"/>
      <c r="E931" s="479" t="s">
        <v>510</v>
      </c>
      <c r="F931" s="480"/>
      <c r="G931" s="480"/>
      <c r="H931" s="480"/>
      <c r="I931" s="480"/>
      <c r="J931" s="481"/>
    </row>
    <row r="932" spans="1:10" ht="27" customHeight="1" x14ac:dyDescent="0.25">
      <c r="A932" s="157"/>
      <c r="B932" s="230"/>
      <c r="C932" s="230"/>
      <c r="D932" s="230"/>
      <c r="E932" s="482" t="s">
        <v>535</v>
      </c>
      <c r="F932" s="483"/>
      <c r="G932" s="482" t="s">
        <v>533</v>
      </c>
      <c r="H932" s="483"/>
      <c r="I932" s="484" t="s">
        <v>849</v>
      </c>
      <c r="J932" s="485"/>
    </row>
    <row r="933" spans="1:10" x14ac:dyDescent="0.25">
      <c r="A933" s="448" t="s">
        <v>527</v>
      </c>
      <c r="B933" s="449"/>
      <c r="C933" s="449"/>
      <c r="D933" s="450"/>
      <c r="E933" s="456"/>
      <c r="F933" s="456"/>
      <c r="G933" s="456"/>
      <c r="H933" s="456"/>
      <c r="I933" s="457"/>
      <c r="J933" s="457"/>
    </row>
    <row r="934" spans="1:10" x14ac:dyDescent="0.25">
      <c r="A934" s="452" t="s">
        <v>528</v>
      </c>
      <c r="B934" s="453"/>
      <c r="C934" s="453"/>
      <c r="D934" s="454"/>
      <c r="E934" s="439"/>
      <c r="F934" s="439"/>
      <c r="G934" s="440"/>
      <c r="H934" s="440"/>
      <c r="I934" s="455"/>
      <c r="J934" s="455"/>
    </row>
    <row r="935" spans="1:10" x14ac:dyDescent="0.25">
      <c r="A935" s="448" t="s">
        <v>529</v>
      </c>
      <c r="B935" s="449"/>
      <c r="C935" s="449"/>
      <c r="D935" s="450"/>
      <c r="E935" s="456"/>
      <c r="F935" s="456"/>
      <c r="G935" s="456"/>
      <c r="H935" s="456"/>
      <c r="I935" s="457"/>
      <c r="J935" s="457"/>
    </row>
    <row r="936" spans="1:10" x14ac:dyDescent="0.25">
      <c r="A936" s="452" t="s">
        <v>530</v>
      </c>
      <c r="B936" s="453"/>
      <c r="C936" s="453"/>
      <c r="D936" s="454"/>
      <c r="E936" s="460"/>
      <c r="F936" s="460"/>
      <c r="G936" s="440"/>
      <c r="H936" s="440"/>
      <c r="I936" s="455"/>
      <c r="J936" s="455"/>
    </row>
    <row r="937" spans="1:10" x14ac:dyDescent="0.25">
      <c r="A937" s="448" t="s">
        <v>531</v>
      </c>
      <c r="B937" s="449"/>
      <c r="C937" s="449"/>
      <c r="D937" s="450"/>
      <c r="E937" s="456"/>
      <c r="F937" s="456"/>
      <c r="G937" s="456"/>
      <c r="H937" s="456"/>
      <c r="I937" s="457"/>
      <c r="J937" s="457"/>
    </row>
    <row r="938" spans="1:10" x14ac:dyDescent="0.25">
      <c r="A938" s="452" t="s">
        <v>532</v>
      </c>
      <c r="B938" s="453"/>
      <c r="C938" s="453"/>
      <c r="D938" s="454"/>
      <c r="E938" s="439"/>
      <c r="F938" s="439"/>
      <c r="G938" s="440"/>
      <c r="H938" s="440"/>
      <c r="I938" s="455"/>
      <c r="J938" s="455"/>
    </row>
    <row r="939" spans="1:10" x14ac:dyDescent="0.25">
      <c r="A939" s="448" t="s">
        <v>537</v>
      </c>
      <c r="B939" s="449"/>
      <c r="C939" s="449"/>
      <c r="D939" s="450"/>
      <c r="E939" s="451"/>
      <c r="F939" s="451"/>
      <c r="G939" s="451"/>
      <c r="H939" s="451"/>
      <c r="I939" s="445"/>
      <c r="J939" s="445"/>
    </row>
    <row r="940" spans="1:10" x14ac:dyDescent="0.25">
      <c r="A940" s="436"/>
      <c r="B940" s="437"/>
      <c r="C940" s="437"/>
      <c r="D940" s="438"/>
      <c r="E940" s="439"/>
      <c r="F940" s="439"/>
      <c r="G940" s="440"/>
      <c r="H940" s="440"/>
      <c r="I940" s="440"/>
      <c r="J940" s="440"/>
    </row>
    <row r="941" spans="1:10" x14ac:dyDescent="0.25">
      <c r="A941" s="436"/>
      <c r="B941" s="437"/>
      <c r="C941" s="437"/>
      <c r="D941" s="438"/>
      <c r="E941" s="439"/>
      <c r="F941" s="439"/>
      <c r="G941" s="440"/>
      <c r="H941" s="440"/>
      <c r="I941" s="440"/>
      <c r="J941" s="440"/>
    </row>
    <row r="942" spans="1:10" x14ac:dyDescent="0.25">
      <c r="A942" s="436"/>
      <c r="B942" s="437"/>
      <c r="C942" s="437"/>
      <c r="D942" s="438"/>
      <c r="E942" s="439"/>
      <c r="F942" s="439"/>
      <c r="G942" s="440"/>
      <c r="H942" s="440"/>
      <c r="I942" s="440"/>
      <c r="J942" s="440"/>
    </row>
    <row r="943" spans="1:10" x14ac:dyDescent="0.25">
      <c r="A943" s="441" t="s">
        <v>534</v>
      </c>
      <c r="B943" s="442"/>
      <c r="C943" s="442"/>
      <c r="D943" s="443"/>
      <c r="E943" s="444">
        <f>SUM(E933:E942)</f>
        <v>0</v>
      </c>
      <c r="F943" s="444"/>
      <c r="G943" s="444">
        <f>SUM(G933:G942)</f>
        <v>0</v>
      </c>
      <c r="H943" s="444"/>
      <c r="I943" s="444">
        <f>SUM(I933:I942)</f>
        <v>0</v>
      </c>
      <c r="J943" s="444"/>
    </row>
    <row r="944" spans="1:10" x14ac:dyDescent="0.25">
      <c r="A944" s="494" t="s">
        <v>861</v>
      </c>
      <c r="B944" s="495"/>
      <c r="C944" s="495"/>
      <c r="D944" s="495"/>
      <c r="E944" s="495"/>
      <c r="F944" s="495"/>
      <c r="G944" s="495"/>
      <c r="H944" s="495"/>
      <c r="I944" s="495"/>
      <c r="J944" s="496"/>
    </row>
    <row r="945" spans="1:10" x14ac:dyDescent="0.25">
      <c r="A945" s="497" t="s">
        <v>862</v>
      </c>
      <c r="B945" s="498"/>
      <c r="C945" s="498"/>
      <c r="D945" s="498"/>
      <c r="E945" s="498"/>
      <c r="F945" s="498"/>
      <c r="G945" s="498"/>
      <c r="H945" s="498"/>
      <c r="I945" s="498"/>
      <c r="J945" s="499"/>
    </row>
    <row r="946" spans="1:10" x14ac:dyDescent="0.25">
      <c r="A946" s="497" t="s">
        <v>863</v>
      </c>
      <c r="B946" s="498"/>
      <c r="C946" s="498"/>
      <c r="D946" s="498"/>
      <c r="E946" s="498"/>
      <c r="F946" s="498"/>
      <c r="G946" s="498"/>
      <c r="H946" s="498"/>
      <c r="I946" s="498"/>
      <c r="J946" s="499"/>
    </row>
    <row r="947" spans="1:10" x14ac:dyDescent="0.25">
      <c r="A947" s="500" t="s">
        <v>864</v>
      </c>
      <c r="B947" s="501"/>
      <c r="C947" s="501"/>
      <c r="D947" s="501"/>
      <c r="E947" s="501"/>
      <c r="F947" s="501"/>
      <c r="G947" s="501"/>
      <c r="H947" s="501"/>
      <c r="I947" s="501"/>
      <c r="J947" s="502"/>
    </row>
    <row r="948" spans="1:10" x14ac:dyDescent="0.25">
      <c r="A948" s="305"/>
      <c r="B948" s="486"/>
      <c r="C948" s="486"/>
      <c r="D948" s="486"/>
      <c r="E948" s="486"/>
      <c r="F948" s="486"/>
      <c r="G948" s="486"/>
      <c r="H948" s="486"/>
      <c r="I948" s="486"/>
      <c r="J948" s="487"/>
    </row>
    <row r="949" spans="1:10" x14ac:dyDescent="0.25">
      <c r="A949" s="488"/>
      <c r="B949" s="553"/>
      <c r="C949" s="553"/>
      <c r="D949" s="553"/>
      <c r="E949" s="553"/>
      <c r="F949" s="553"/>
      <c r="G949" s="553"/>
      <c r="H949" s="553"/>
      <c r="I949" s="553"/>
      <c r="J949" s="490"/>
    </row>
    <row r="950" spans="1:10" x14ac:dyDescent="0.25">
      <c r="A950" s="488"/>
      <c r="B950" s="553"/>
      <c r="C950" s="553"/>
      <c r="D950" s="553"/>
      <c r="E950" s="553"/>
      <c r="F950" s="553"/>
      <c r="G950" s="553"/>
      <c r="H950" s="553"/>
      <c r="I950" s="553"/>
      <c r="J950" s="490"/>
    </row>
    <row r="951" spans="1:10" x14ac:dyDescent="0.25">
      <c r="A951" s="488"/>
      <c r="B951" s="553"/>
      <c r="C951" s="553"/>
      <c r="D951" s="553"/>
      <c r="E951" s="553"/>
      <c r="F951" s="553"/>
      <c r="G951" s="553"/>
      <c r="H951" s="553"/>
      <c r="I951" s="553"/>
      <c r="J951" s="490"/>
    </row>
    <row r="952" spans="1:10" x14ac:dyDescent="0.25">
      <c r="A952" s="488"/>
      <c r="B952" s="553"/>
      <c r="C952" s="553"/>
      <c r="D952" s="553"/>
      <c r="E952" s="553"/>
      <c r="F952" s="553"/>
      <c r="G952" s="553"/>
      <c r="H952" s="553"/>
      <c r="I952" s="553"/>
      <c r="J952" s="490"/>
    </row>
    <row r="953" spans="1:10" x14ac:dyDescent="0.25">
      <c r="A953" s="488"/>
      <c r="B953" s="553"/>
      <c r="C953" s="553"/>
      <c r="D953" s="553"/>
      <c r="E953" s="553"/>
      <c r="F953" s="553"/>
      <c r="G953" s="553"/>
      <c r="H953" s="553"/>
      <c r="I953" s="553"/>
      <c r="J953" s="490"/>
    </row>
    <row r="954" spans="1:10" x14ac:dyDescent="0.25">
      <c r="A954" s="488"/>
      <c r="B954" s="553"/>
      <c r="C954" s="553"/>
      <c r="D954" s="553"/>
      <c r="E954" s="553"/>
      <c r="F954" s="553"/>
      <c r="G954" s="553"/>
      <c r="H954" s="553"/>
      <c r="I954" s="553"/>
      <c r="J954" s="490"/>
    </row>
    <row r="955" spans="1:10" x14ac:dyDescent="0.25">
      <c r="A955" s="488"/>
      <c r="B955" s="553"/>
      <c r="C955" s="553"/>
      <c r="D955" s="553"/>
      <c r="E955" s="553"/>
      <c r="F955" s="553"/>
      <c r="G955" s="553"/>
      <c r="H955" s="553"/>
      <c r="I955" s="553"/>
      <c r="J955" s="490"/>
    </row>
    <row r="956" spans="1:10" x14ac:dyDescent="0.25">
      <c r="A956" s="488"/>
      <c r="B956" s="553"/>
      <c r="C956" s="553"/>
      <c r="D956" s="553"/>
      <c r="E956" s="553"/>
      <c r="F956" s="553"/>
      <c r="G956" s="553"/>
      <c r="H956" s="553"/>
      <c r="I956" s="553"/>
      <c r="J956" s="490"/>
    </row>
    <row r="957" spans="1:10" x14ac:dyDescent="0.25">
      <c r="A957" s="488"/>
      <c r="B957" s="553"/>
      <c r="C957" s="553"/>
      <c r="D957" s="553"/>
      <c r="E957" s="553"/>
      <c r="F957" s="553"/>
      <c r="G957" s="553"/>
      <c r="H957" s="553"/>
      <c r="I957" s="553"/>
      <c r="J957" s="490"/>
    </row>
    <row r="958" spans="1:10" x14ac:dyDescent="0.25">
      <c r="A958" s="488"/>
      <c r="B958" s="553"/>
      <c r="C958" s="553"/>
      <c r="D958" s="553"/>
      <c r="E958" s="553"/>
      <c r="F958" s="553"/>
      <c r="G958" s="553"/>
      <c r="H958" s="553"/>
      <c r="I958" s="553"/>
      <c r="J958" s="490"/>
    </row>
    <row r="959" spans="1:10" x14ac:dyDescent="0.25">
      <c r="A959" s="488"/>
      <c r="B959" s="553"/>
      <c r="C959" s="553"/>
      <c r="D959" s="553"/>
      <c r="E959" s="553"/>
      <c r="F959" s="553"/>
      <c r="G959" s="553"/>
      <c r="H959" s="553"/>
      <c r="I959" s="553"/>
      <c r="J959" s="490"/>
    </row>
    <row r="960" spans="1:10" x14ac:dyDescent="0.25">
      <c r="A960" s="488"/>
      <c r="B960" s="553"/>
      <c r="C960" s="553"/>
      <c r="D960" s="553"/>
      <c r="E960" s="553"/>
      <c r="F960" s="553"/>
      <c r="G960" s="553"/>
      <c r="H960" s="553"/>
      <c r="I960" s="553"/>
      <c r="J960" s="490"/>
    </row>
    <row r="961" spans="1:10" x14ac:dyDescent="0.25">
      <c r="A961" s="488"/>
      <c r="B961" s="553"/>
      <c r="C961" s="553"/>
      <c r="D961" s="553"/>
      <c r="E961" s="553"/>
      <c r="F961" s="553"/>
      <c r="G961" s="553"/>
      <c r="H961" s="553"/>
      <c r="I961" s="553"/>
      <c r="J961" s="490"/>
    </row>
    <row r="962" spans="1:10" x14ac:dyDescent="0.25">
      <c r="A962" s="488"/>
      <c r="B962" s="553"/>
      <c r="C962" s="553"/>
      <c r="D962" s="553"/>
      <c r="E962" s="553"/>
      <c r="F962" s="553"/>
      <c r="G962" s="553"/>
      <c r="H962" s="553"/>
      <c r="I962" s="553"/>
      <c r="J962" s="490"/>
    </row>
    <row r="963" spans="1:10" x14ac:dyDescent="0.25">
      <c r="A963" s="488"/>
      <c r="B963" s="553"/>
      <c r="C963" s="553"/>
      <c r="D963" s="553"/>
      <c r="E963" s="553"/>
      <c r="F963" s="553"/>
      <c r="G963" s="553"/>
      <c r="H963" s="553"/>
      <c r="I963" s="553"/>
      <c r="J963" s="490"/>
    </row>
    <row r="964" spans="1:10" x14ac:dyDescent="0.25">
      <c r="A964" s="488"/>
      <c r="B964" s="553"/>
      <c r="C964" s="553"/>
      <c r="D964" s="553"/>
      <c r="E964" s="553"/>
      <c r="F964" s="553"/>
      <c r="G964" s="553"/>
      <c r="H964" s="553"/>
      <c r="I964" s="553"/>
      <c r="J964" s="490"/>
    </row>
    <row r="965" spans="1:10" x14ac:dyDescent="0.25">
      <c r="A965" s="488"/>
      <c r="B965" s="553"/>
      <c r="C965" s="553"/>
      <c r="D965" s="553"/>
      <c r="E965" s="553"/>
      <c r="F965" s="553"/>
      <c r="G965" s="553"/>
      <c r="H965" s="553"/>
      <c r="I965" s="553"/>
      <c r="J965" s="490"/>
    </row>
    <row r="966" spans="1:10" x14ac:dyDescent="0.25">
      <c r="A966" s="488"/>
      <c r="B966" s="553"/>
      <c r="C966" s="553"/>
      <c r="D966" s="553"/>
      <c r="E966" s="553"/>
      <c r="F966" s="553"/>
      <c r="G966" s="553"/>
      <c r="H966" s="553"/>
      <c r="I966" s="553"/>
      <c r="J966" s="490"/>
    </row>
    <row r="967" spans="1:10" x14ac:dyDescent="0.25">
      <c r="A967" s="488"/>
      <c r="B967" s="553"/>
      <c r="C967" s="553"/>
      <c r="D967" s="553"/>
      <c r="E967" s="553"/>
      <c r="F967" s="553"/>
      <c r="G967" s="553"/>
      <c r="H967" s="553"/>
      <c r="I967" s="553"/>
      <c r="J967" s="490"/>
    </row>
    <row r="968" spans="1:10" x14ac:dyDescent="0.25">
      <c r="A968" s="488"/>
      <c r="B968" s="553"/>
      <c r="C968" s="553"/>
      <c r="D968" s="553"/>
      <c r="E968" s="553"/>
      <c r="F968" s="553"/>
      <c r="G968" s="553"/>
      <c r="H968" s="553"/>
      <c r="I968" s="553"/>
      <c r="J968" s="490"/>
    </row>
    <row r="969" spans="1:10" x14ac:dyDescent="0.25">
      <c r="A969" s="488"/>
      <c r="B969" s="553"/>
      <c r="C969" s="553"/>
      <c r="D969" s="553"/>
      <c r="E969" s="553"/>
      <c r="F969" s="553"/>
      <c r="G969" s="553"/>
      <c r="H969" s="553"/>
      <c r="I969" s="553"/>
      <c r="J969" s="490"/>
    </row>
    <row r="970" spans="1:10" x14ac:dyDescent="0.25">
      <c r="A970" s="488"/>
      <c r="B970" s="553"/>
      <c r="C970" s="553"/>
      <c r="D970" s="553"/>
      <c r="E970" s="553"/>
      <c r="F970" s="553"/>
      <c r="G970" s="553"/>
      <c r="H970" s="553"/>
      <c r="I970" s="553"/>
      <c r="J970" s="490"/>
    </row>
    <row r="971" spans="1:10" x14ac:dyDescent="0.25">
      <c r="A971" s="488"/>
      <c r="B971" s="553"/>
      <c r="C971" s="553"/>
      <c r="D971" s="553"/>
      <c r="E971" s="553"/>
      <c r="F971" s="553"/>
      <c r="G971" s="553"/>
      <c r="H971" s="553"/>
      <c r="I971" s="553"/>
      <c r="J971" s="490"/>
    </row>
    <row r="972" spans="1:10" x14ac:dyDescent="0.25">
      <c r="A972" s="488"/>
      <c r="B972" s="553"/>
      <c r="C972" s="553"/>
      <c r="D972" s="553"/>
      <c r="E972" s="553"/>
      <c r="F972" s="553"/>
      <c r="G972" s="553"/>
      <c r="H972" s="553"/>
      <c r="I972" s="553"/>
      <c r="J972" s="490"/>
    </row>
    <row r="973" spans="1:10" x14ac:dyDescent="0.25">
      <c r="A973" s="488"/>
      <c r="B973" s="553"/>
      <c r="C973" s="553"/>
      <c r="D973" s="553"/>
      <c r="E973" s="553"/>
      <c r="F973" s="553"/>
      <c r="G973" s="553"/>
      <c r="H973" s="553"/>
      <c r="I973" s="553"/>
      <c r="J973" s="490"/>
    </row>
    <row r="974" spans="1:10" x14ac:dyDescent="0.25">
      <c r="A974" s="488"/>
      <c r="B974" s="553"/>
      <c r="C974" s="553"/>
      <c r="D974" s="553"/>
      <c r="E974" s="553"/>
      <c r="F974" s="553"/>
      <c r="G974" s="553"/>
      <c r="H974" s="553"/>
      <c r="I974" s="553"/>
      <c r="J974" s="490"/>
    </row>
    <row r="975" spans="1:10" x14ac:dyDescent="0.25">
      <c r="A975" s="488"/>
      <c r="B975" s="553"/>
      <c r="C975" s="553"/>
      <c r="D975" s="553"/>
      <c r="E975" s="553"/>
      <c r="F975" s="553"/>
      <c r="G975" s="553"/>
      <c r="H975" s="553"/>
      <c r="I975" s="553"/>
      <c r="J975" s="490"/>
    </row>
    <row r="976" spans="1:10" x14ac:dyDescent="0.25">
      <c r="A976" s="488"/>
      <c r="B976" s="553"/>
      <c r="C976" s="553"/>
      <c r="D976" s="553"/>
      <c r="E976" s="553"/>
      <c r="F976" s="553"/>
      <c r="G976" s="553"/>
      <c r="H976" s="553"/>
      <c r="I976" s="553"/>
      <c r="J976" s="490"/>
    </row>
    <row r="977" spans="1:10" x14ac:dyDescent="0.25">
      <c r="A977" s="488"/>
      <c r="B977" s="553"/>
      <c r="C977" s="553"/>
      <c r="D977" s="553"/>
      <c r="E977" s="553"/>
      <c r="F977" s="553"/>
      <c r="G977" s="553"/>
      <c r="H977" s="553"/>
      <c r="I977" s="553"/>
      <c r="J977" s="490"/>
    </row>
    <row r="978" spans="1:10" x14ac:dyDescent="0.25">
      <c r="A978" s="488"/>
      <c r="B978" s="553"/>
      <c r="C978" s="553"/>
      <c r="D978" s="553"/>
      <c r="E978" s="553"/>
      <c r="F978" s="553"/>
      <c r="G978" s="553"/>
      <c r="H978" s="553"/>
      <c r="I978" s="553"/>
      <c r="J978" s="490"/>
    </row>
    <row r="979" spans="1:10" x14ac:dyDescent="0.25">
      <c r="A979" s="488"/>
      <c r="B979" s="553"/>
      <c r="C979" s="553"/>
      <c r="D979" s="553"/>
      <c r="E979" s="553"/>
      <c r="F979" s="553"/>
      <c r="G979" s="553"/>
      <c r="H979" s="553"/>
      <c r="I979" s="553"/>
      <c r="J979" s="490"/>
    </row>
    <row r="980" spans="1:10" x14ac:dyDescent="0.25">
      <c r="A980" s="488"/>
      <c r="B980" s="553"/>
      <c r="C980" s="553"/>
      <c r="D980" s="553"/>
      <c r="E980" s="553"/>
      <c r="F980" s="553"/>
      <c r="G980" s="553"/>
      <c r="H980" s="553"/>
      <c r="I980" s="553"/>
      <c r="J980" s="490"/>
    </row>
    <row r="981" spans="1:10" x14ac:dyDescent="0.25">
      <c r="A981" s="488"/>
      <c r="B981" s="553"/>
      <c r="C981" s="553"/>
      <c r="D981" s="553"/>
      <c r="E981" s="553"/>
      <c r="F981" s="553"/>
      <c r="G981" s="553"/>
      <c r="H981" s="553"/>
      <c r="I981" s="553"/>
      <c r="J981" s="490"/>
    </row>
    <row r="982" spans="1:10" x14ac:dyDescent="0.25">
      <c r="A982" s="491"/>
      <c r="B982" s="492"/>
      <c r="C982" s="492"/>
      <c r="D982" s="492"/>
      <c r="E982" s="492"/>
      <c r="F982" s="492"/>
      <c r="G982" s="492"/>
      <c r="H982" s="492"/>
      <c r="I982" s="492"/>
      <c r="J982" s="493"/>
    </row>
    <row r="984" spans="1:10" ht="15.6" x14ac:dyDescent="0.3">
      <c r="A984" s="355" t="s">
        <v>848</v>
      </c>
      <c r="B984" s="356"/>
      <c r="C984" s="356"/>
      <c r="D984" s="356"/>
      <c r="E984" s="356"/>
      <c r="F984" s="356"/>
      <c r="G984" s="356"/>
      <c r="H984" s="353" t="str">
        <f>'CONTACT INFORMATION'!$A$24</f>
        <v>Alameda</v>
      </c>
      <c r="I984" s="353"/>
      <c r="J984" s="354"/>
    </row>
    <row r="985" spans="1:10" ht="8.1" customHeight="1" x14ac:dyDescent="0.25">
      <c r="A985" s="163"/>
      <c r="B985" s="163"/>
      <c r="C985" s="163"/>
      <c r="D985" s="163"/>
      <c r="E985" s="163"/>
      <c r="F985" s="163"/>
      <c r="G985" s="163"/>
      <c r="H985" s="163"/>
      <c r="I985" s="163"/>
      <c r="J985" s="163"/>
    </row>
    <row r="986" spans="1:10" ht="13.8" x14ac:dyDescent="0.25">
      <c r="A986" s="466" t="s">
        <v>929</v>
      </c>
      <c r="B986" s="467"/>
      <c r="C986" s="467"/>
      <c r="D986" s="467"/>
      <c r="E986" s="467"/>
      <c r="F986" s="467"/>
      <c r="G986" s="467"/>
      <c r="H986" s="467"/>
      <c r="I986" s="467"/>
      <c r="J986" s="468"/>
    </row>
    <row r="987" spans="1:10" x14ac:dyDescent="0.25">
      <c r="A987" s="463" t="s">
        <v>854</v>
      </c>
      <c r="B987" s="464"/>
      <c r="C987" s="464"/>
      <c r="D987" s="465"/>
    </row>
    <row r="988" spans="1:10" x14ac:dyDescent="0.25">
      <c r="A988" s="503" t="s">
        <v>853</v>
      </c>
      <c r="B988" s="504"/>
      <c r="C988" s="504"/>
      <c r="D988" s="505"/>
    </row>
    <row r="989" spans="1:10" x14ac:dyDescent="0.25">
      <c r="A989" s="541" t="s">
        <v>808</v>
      </c>
      <c r="B989" s="542"/>
      <c r="C989" s="542"/>
      <c r="D989" s="543"/>
      <c r="E989" s="479" t="s">
        <v>510</v>
      </c>
      <c r="F989" s="480"/>
      <c r="G989" s="480"/>
      <c r="H989" s="480"/>
      <c r="I989" s="480"/>
      <c r="J989" s="481"/>
    </row>
    <row r="990" spans="1:10" ht="27" customHeight="1" x14ac:dyDescent="0.25">
      <c r="A990" s="157"/>
      <c r="B990" s="230"/>
      <c r="C990" s="230"/>
      <c r="D990" s="230"/>
      <c r="E990" s="482" t="s">
        <v>535</v>
      </c>
      <c r="F990" s="483"/>
      <c r="G990" s="482" t="s">
        <v>533</v>
      </c>
      <c r="H990" s="483"/>
      <c r="I990" s="484" t="s">
        <v>849</v>
      </c>
      <c r="J990" s="485"/>
    </row>
    <row r="991" spans="1:10" x14ac:dyDescent="0.25">
      <c r="A991" s="448" t="s">
        <v>527</v>
      </c>
      <c r="B991" s="449"/>
      <c r="C991" s="449"/>
      <c r="D991" s="450"/>
      <c r="E991" s="456"/>
      <c r="F991" s="456"/>
      <c r="G991" s="456"/>
      <c r="H991" s="456"/>
      <c r="I991" s="457"/>
      <c r="J991" s="457"/>
    </row>
    <row r="992" spans="1:10" x14ac:dyDescent="0.25">
      <c r="A992" s="452" t="s">
        <v>528</v>
      </c>
      <c r="B992" s="453"/>
      <c r="C992" s="453"/>
      <c r="D992" s="454"/>
      <c r="E992" s="439"/>
      <c r="F992" s="439"/>
      <c r="G992" s="440"/>
      <c r="H992" s="440"/>
      <c r="I992" s="455"/>
      <c r="J992" s="455"/>
    </row>
    <row r="993" spans="1:10" x14ac:dyDescent="0.25">
      <c r="A993" s="448" t="s">
        <v>529</v>
      </c>
      <c r="B993" s="449"/>
      <c r="C993" s="449"/>
      <c r="D993" s="450"/>
      <c r="G993" s="456"/>
      <c r="H993" s="456"/>
      <c r="I993" s="457"/>
      <c r="J993" s="457"/>
    </row>
    <row r="994" spans="1:10" x14ac:dyDescent="0.25">
      <c r="A994" s="452" t="s">
        <v>530</v>
      </c>
      <c r="B994" s="453"/>
      <c r="C994" s="453"/>
      <c r="D994" s="454"/>
      <c r="G994" s="440"/>
      <c r="H994" s="440"/>
      <c r="I994" s="455"/>
      <c r="J994" s="455"/>
    </row>
    <row r="995" spans="1:10" x14ac:dyDescent="0.25">
      <c r="A995" s="448" t="s">
        <v>531</v>
      </c>
      <c r="B995" s="449"/>
      <c r="C995" s="449"/>
      <c r="D995" s="450"/>
      <c r="E995" s="456"/>
      <c r="F995" s="456"/>
      <c r="G995" s="456"/>
      <c r="H995" s="456"/>
      <c r="I995" s="457"/>
      <c r="J995" s="457"/>
    </row>
    <row r="996" spans="1:10" x14ac:dyDescent="0.25">
      <c r="A996" s="452" t="s">
        <v>532</v>
      </c>
      <c r="B996" s="453"/>
      <c r="C996" s="453"/>
      <c r="D996" s="454"/>
      <c r="E996" s="439"/>
      <c r="F996" s="439"/>
      <c r="G996" s="440"/>
      <c r="H996" s="440"/>
      <c r="I996" s="455"/>
      <c r="J996" s="455"/>
    </row>
    <row r="997" spans="1:10" x14ac:dyDescent="0.25">
      <c r="A997" s="448" t="s">
        <v>537</v>
      </c>
      <c r="B997" s="449"/>
      <c r="C997" s="449"/>
      <c r="D997" s="450"/>
      <c r="E997" s="451"/>
      <c r="F997" s="451"/>
      <c r="G997" s="451"/>
      <c r="H997" s="451"/>
      <c r="I997" s="445"/>
      <c r="J997" s="445"/>
    </row>
    <row r="998" spans="1:10" x14ac:dyDescent="0.25">
      <c r="A998" s="436"/>
      <c r="B998" s="437"/>
      <c r="C998" s="437"/>
      <c r="D998" s="438"/>
      <c r="E998" s="439"/>
      <c r="F998" s="439"/>
      <c r="G998" s="440"/>
      <c r="H998" s="440"/>
      <c r="I998" s="440"/>
      <c r="J998" s="440"/>
    </row>
    <row r="999" spans="1:10" x14ac:dyDescent="0.25">
      <c r="A999" s="436"/>
      <c r="B999" s="437"/>
      <c r="C999" s="437"/>
      <c r="D999" s="438"/>
      <c r="E999" s="439"/>
      <c r="F999" s="439"/>
      <c r="G999" s="440"/>
      <c r="H999" s="440"/>
      <c r="I999" s="440"/>
      <c r="J999" s="440"/>
    </row>
    <row r="1000" spans="1:10" x14ac:dyDescent="0.25">
      <c r="A1000" s="436"/>
      <c r="B1000" s="437"/>
      <c r="C1000" s="437"/>
      <c r="D1000" s="438"/>
      <c r="E1000" s="439"/>
      <c r="F1000" s="439"/>
      <c r="G1000" s="440"/>
      <c r="H1000" s="440"/>
      <c r="I1000" s="440"/>
      <c r="J1000" s="440"/>
    </row>
    <row r="1001" spans="1:10" x14ac:dyDescent="0.25">
      <c r="A1001" s="441" t="s">
        <v>534</v>
      </c>
      <c r="B1001" s="442"/>
      <c r="C1001" s="442"/>
      <c r="D1001" s="443"/>
      <c r="E1001" s="444">
        <f>SUM(E991:E1000)</f>
        <v>0</v>
      </c>
      <c r="F1001" s="444"/>
      <c r="G1001" s="444">
        <f>SUM(G991:G1000)</f>
        <v>0</v>
      </c>
      <c r="H1001" s="444"/>
      <c r="I1001" s="444">
        <f>SUM(I991:I1000)</f>
        <v>0</v>
      </c>
      <c r="J1001" s="444"/>
    </row>
    <row r="1002" spans="1:10" x14ac:dyDescent="0.25">
      <c r="A1002" s="494" t="s">
        <v>861</v>
      </c>
      <c r="B1002" s="495"/>
      <c r="C1002" s="495"/>
      <c r="D1002" s="495"/>
      <c r="E1002" s="495"/>
      <c r="F1002" s="495"/>
      <c r="G1002" s="495"/>
      <c r="H1002" s="495"/>
      <c r="I1002" s="495"/>
      <c r="J1002" s="496"/>
    </row>
    <row r="1003" spans="1:10" x14ac:dyDescent="0.25">
      <c r="A1003" s="497" t="s">
        <v>862</v>
      </c>
      <c r="B1003" s="498"/>
      <c r="C1003" s="498"/>
      <c r="D1003" s="498"/>
      <c r="E1003" s="498"/>
      <c r="F1003" s="498"/>
      <c r="G1003" s="498"/>
      <c r="H1003" s="498"/>
      <c r="I1003" s="498"/>
      <c r="J1003" s="499"/>
    </row>
    <row r="1004" spans="1:10" x14ac:dyDescent="0.25">
      <c r="A1004" s="497" t="s">
        <v>863</v>
      </c>
      <c r="B1004" s="498"/>
      <c r="C1004" s="498"/>
      <c r="D1004" s="498"/>
      <c r="E1004" s="498"/>
      <c r="F1004" s="498"/>
      <c r="G1004" s="498"/>
      <c r="H1004" s="498"/>
      <c r="I1004" s="498"/>
      <c r="J1004" s="499"/>
    </row>
    <row r="1005" spans="1:10" x14ac:dyDescent="0.25">
      <c r="A1005" s="500" t="s">
        <v>864</v>
      </c>
      <c r="B1005" s="501"/>
      <c r="C1005" s="501"/>
      <c r="D1005" s="501"/>
      <c r="E1005" s="501"/>
      <c r="F1005" s="501"/>
      <c r="G1005" s="501"/>
      <c r="H1005" s="501"/>
      <c r="I1005" s="501"/>
      <c r="J1005" s="502"/>
    </row>
    <row r="1006" spans="1:10" x14ac:dyDescent="0.25">
      <c r="A1006" s="305"/>
      <c r="B1006" s="486"/>
      <c r="C1006" s="486"/>
      <c r="D1006" s="486"/>
      <c r="E1006" s="486"/>
      <c r="F1006" s="486"/>
      <c r="G1006" s="486"/>
      <c r="H1006" s="486"/>
      <c r="I1006" s="486"/>
      <c r="J1006" s="487"/>
    </row>
    <row r="1007" spans="1:10" x14ac:dyDescent="0.25">
      <c r="A1007" s="488"/>
      <c r="B1007" s="553"/>
      <c r="C1007" s="553"/>
      <c r="D1007" s="553"/>
      <c r="E1007" s="553"/>
      <c r="F1007" s="553"/>
      <c r="G1007" s="553"/>
      <c r="H1007" s="553"/>
      <c r="I1007" s="553"/>
      <c r="J1007" s="490"/>
    </row>
    <row r="1008" spans="1:10" x14ac:dyDescent="0.25">
      <c r="A1008" s="488"/>
      <c r="B1008" s="553"/>
      <c r="C1008" s="553"/>
      <c r="D1008" s="553"/>
      <c r="E1008" s="553"/>
      <c r="F1008" s="553"/>
      <c r="G1008" s="553"/>
      <c r="H1008" s="553"/>
      <c r="I1008" s="553"/>
      <c r="J1008" s="490"/>
    </row>
    <row r="1009" spans="1:10" x14ac:dyDescent="0.25">
      <c r="A1009" s="488"/>
      <c r="B1009" s="553"/>
      <c r="C1009" s="553"/>
      <c r="D1009" s="553"/>
      <c r="E1009" s="553"/>
      <c r="F1009" s="553"/>
      <c r="G1009" s="553"/>
      <c r="H1009" s="553"/>
      <c r="I1009" s="553"/>
      <c r="J1009" s="490"/>
    </row>
    <row r="1010" spans="1:10" x14ac:dyDescent="0.25">
      <c r="A1010" s="488"/>
      <c r="B1010" s="553"/>
      <c r="C1010" s="553"/>
      <c r="D1010" s="553"/>
      <c r="E1010" s="553"/>
      <c r="F1010" s="553"/>
      <c r="G1010" s="553"/>
      <c r="H1010" s="553"/>
      <c r="I1010" s="553"/>
      <c r="J1010" s="490"/>
    </row>
    <row r="1011" spans="1:10" x14ac:dyDescent="0.25">
      <c r="A1011" s="488"/>
      <c r="B1011" s="553"/>
      <c r="C1011" s="553"/>
      <c r="D1011" s="553"/>
      <c r="E1011" s="553"/>
      <c r="F1011" s="553"/>
      <c r="G1011" s="553"/>
      <c r="H1011" s="553"/>
      <c r="I1011" s="553"/>
      <c r="J1011" s="490"/>
    </row>
    <row r="1012" spans="1:10" x14ac:dyDescent="0.25">
      <c r="A1012" s="488"/>
      <c r="B1012" s="553"/>
      <c r="C1012" s="553"/>
      <c r="D1012" s="553"/>
      <c r="E1012" s="553"/>
      <c r="F1012" s="553"/>
      <c r="G1012" s="553"/>
      <c r="H1012" s="553"/>
      <c r="I1012" s="553"/>
      <c r="J1012" s="490"/>
    </row>
    <row r="1013" spans="1:10" x14ac:dyDescent="0.25">
      <c r="A1013" s="488"/>
      <c r="B1013" s="553"/>
      <c r="C1013" s="553"/>
      <c r="D1013" s="553"/>
      <c r="E1013" s="553"/>
      <c r="F1013" s="553"/>
      <c r="G1013" s="553"/>
      <c r="H1013" s="553"/>
      <c r="I1013" s="553"/>
      <c r="J1013" s="490"/>
    </row>
    <row r="1014" spans="1:10" x14ac:dyDescent="0.25">
      <c r="A1014" s="488"/>
      <c r="B1014" s="553"/>
      <c r="C1014" s="553"/>
      <c r="D1014" s="553"/>
      <c r="E1014" s="553"/>
      <c r="F1014" s="553"/>
      <c r="G1014" s="553"/>
      <c r="H1014" s="553"/>
      <c r="I1014" s="553"/>
      <c r="J1014" s="490"/>
    </row>
    <row r="1015" spans="1:10" x14ac:dyDescent="0.25">
      <c r="A1015" s="488"/>
      <c r="B1015" s="553"/>
      <c r="C1015" s="553"/>
      <c r="D1015" s="553"/>
      <c r="E1015" s="553"/>
      <c r="F1015" s="553"/>
      <c r="G1015" s="553"/>
      <c r="H1015" s="553"/>
      <c r="I1015" s="553"/>
      <c r="J1015" s="490"/>
    </row>
    <row r="1016" spans="1:10" x14ac:dyDescent="0.25">
      <c r="A1016" s="488"/>
      <c r="B1016" s="553"/>
      <c r="C1016" s="553"/>
      <c r="D1016" s="553"/>
      <c r="E1016" s="553"/>
      <c r="F1016" s="553"/>
      <c r="G1016" s="553"/>
      <c r="H1016" s="553"/>
      <c r="I1016" s="553"/>
      <c r="J1016" s="490"/>
    </row>
    <row r="1017" spans="1:10" x14ac:dyDescent="0.25">
      <c r="A1017" s="488"/>
      <c r="B1017" s="553"/>
      <c r="C1017" s="553"/>
      <c r="D1017" s="553"/>
      <c r="E1017" s="553"/>
      <c r="F1017" s="553"/>
      <c r="G1017" s="553"/>
      <c r="H1017" s="553"/>
      <c r="I1017" s="553"/>
      <c r="J1017" s="490"/>
    </row>
    <row r="1018" spans="1:10" x14ac:dyDescent="0.25">
      <c r="A1018" s="488"/>
      <c r="B1018" s="553"/>
      <c r="C1018" s="553"/>
      <c r="D1018" s="553"/>
      <c r="E1018" s="553"/>
      <c r="F1018" s="553"/>
      <c r="G1018" s="553"/>
      <c r="H1018" s="553"/>
      <c r="I1018" s="553"/>
      <c r="J1018" s="490"/>
    </row>
    <row r="1019" spans="1:10" x14ac:dyDescent="0.25">
      <c r="A1019" s="488"/>
      <c r="B1019" s="553"/>
      <c r="C1019" s="553"/>
      <c r="D1019" s="553"/>
      <c r="E1019" s="553"/>
      <c r="F1019" s="553"/>
      <c r="G1019" s="553"/>
      <c r="H1019" s="553"/>
      <c r="I1019" s="553"/>
      <c r="J1019" s="490"/>
    </row>
    <row r="1020" spans="1:10" x14ac:dyDescent="0.25">
      <c r="A1020" s="488"/>
      <c r="B1020" s="553"/>
      <c r="C1020" s="553"/>
      <c r="D1020" s="553"/>
      <c r="E1020" s="553"/>
      <c r="F1020" s="553"/>
      <c r="G1020" s="553"/>
      <c r="H1020" s="553"/>
      <c r="I1020" s="553"/>
      <c r="J1020" s="490"/>
    </row>
    <row r="1021" spans="1:10" x14ac:dyDescent="0.25">
      <c r="A1021" s="488"/>
      <c r="B1021" s="553"/>
      <c r="C1021" s="553"/>
      <c r="D1021" s="553"/>
      <c r="E1021" s="553"/>
      <c r="F1021" s="553"/>
      <c r="G1021" s="553"/>
      <c r="H1021" s="553"/>
      <c r="I1021" s="553"/>
      <c r="J1021" s="490"/>
    </row>
    <row r="1022" spans="1:10" x14ac:dyDescent="0.25">
      <c r="A1022" s="488"/>
      <c r="B1022" s="553"/>
      <c r="C1022" s="553"/>
      <c r="D1022" s="553"/>
      <c r="E1022" s="553"/>
      <c r="F1022" s="553"/>
      <c r="G1022" s="553"/>
      <c r="H1022" s="553"/>
      <c r="I1022" s="553"/>
      <c r="J1022" s="490"/>
    </row>
    <row r="1023" spans="1:10" x14ac:dyDescent="0.25">
      <c r="A1023" s="488"/>
      <c r="B1023" s="553"/>
      <c r="C1023" s="553"/>
      <c r="D1023" s="553"/>
      <c r="E1023" s="553"/>
      <c r="F1023" s="553"/>
      <c r="G1023" s="553"/>
      <c r="H1023" s="553"/>
      <c r="I1023" s="553"/>
      <c r="J1023" s="490"/>
    </row>
    <row r="1024" spans="1:10" x14ac:dyDescent="0.25">
      <c r="A1024" s="488"/>
      <c r="B1024" s="553"/>
      <c r="C1024" s="553"/>
      <c r="D1024" s="553"/>
      <c r="E1024" s="553"/>
      <c r="F1024" s="553"/>
      <c r="G1024" s="553"/>
      <c r="H1024" s="553"/>
      <c r="I1024" s="553"/>
      <c r="J1024" s="490"/>
    </row>
    <row r="1025" spans="1:10" x14ac:dyDescent="0.25">
      <c r="A1025" s="488"/>
      <c r="B1025" s="553"/>
      <c r="C1025" s="553"/>
      <c r="D1025" s="553"/>
      <c r="E1025" s="553"/>
      <c r="F1025" s="553"/>
      <c r="G1025" s="553"/>
      <c r="H1025" s="553"/>
      <c r="I1025" s="553"/>
      <c r="J1025" s="490"/>
    </row>
    <row r="1026" spans="1:10" x14ac:dyDescent="0.25">
      <c r="A1026" s="488"/>
      <c r="B1026" s="553"/>
      <c r="C1026" s="553"/>
      <c r="D1026" s="553"/>
      <c r="E1026" s="553"/>
      <c r="F1026" s="553"/>
      <c r="G1026" s="553"/>
      <c r="H1026" s="553"/>
      <c r="I1026" s="553"/>
      <c r="J1026" s="490"/>
    </row>
    <row r="1027" spans="1:10" x14ac:dyDescent="0.25">
      <c r="A1027" s="488"/>
      <c r="B1027" s="553"/>
      <c r="C1027" s="553"/>
      <c r="D1027" s="553"/>
      <c r="E1027" s="553"/>
      <c r="F1027" s="553"/>
      <c r="G1027" s="553"/>
      <c r="H1027" s="553"/>
      <c r="I1027" s="553"/>
      <c r="J1027" s="490"/>
    </row>
    <row r="1028" spans="1:10" x14ac:dyDescent="0.25">
      <c r="A1028" s="488"/>
      <c r="B1028" s="553"/>
      <c r="C1028" s="553"/>
      <c r="D1028" s="553"/>
      <c r="E1028" s="553"/>
      <c r="F1028" s="553"/>
      <c r="G1028" s="553"/>
      <c r="H1028" s="553"/>
      <c r="I1028" s="553"/>
      <c r="J1028" s="490"/>
    </row>
    <row r="1029" spans="1:10" x14ac:dyDescent="0.25">
      <c r="A1029" s="488"/>
      <c r="B1029" s="553"/>
      <c r="C1029" s="553"/>
      <c r="D1029" s="553"/>
      <c r="E1029" s="553"/>
      <c r="F1029" s="553"/>
      <c r="G1029" s="553"/>
      <c r="H1029" s="553"/>
      <c r="I1029" s="553"/>
      <c r="J1029" s="490"/>
    </row>
    <row r="1030" spans="1:10" x14ac:dyDescent="0.25">
      <c r="A1030" s="488"/>
      <c r="B1030" s="553"/>
      <c r="C1030" s="553"/>
      <c r="D1030" s="553"/>
      <c r="E1030" s="553"/>
      <c r="F1030" s="553"/>
      <c r="G1030" s="553"/>
      <c r="H1030" s="553"/>
      <c r="I1030" s="553"/>
      <c r="J1030" s="490"/>
    </row>
    <row r="1031" spans="1:10" x14ac:dyDescent="0.25">
      <c r="A1031" s="488"/>
      <c r="B1031" s="553"/>
      <c r="C1031" s="553"/>
      <c r="D1031" s="553"/>
      <c r="E1031" s="553"/>
      <c r="F1031" s="553"/>
      <c r="G1031" s="553"/>
      <c r="H1031" s="553"/>
      <c r="I1031" s="553"/>
      <c r="J1031" s="490"/>
    </row>
    <row r="1032" spans="1:10" x14ac:dyDescent="0.25">
      <c r="A1032" s="488"/>
      <c r="B1032" s="553"/>
      <c r="C1032" s="553"/>
      <c r="D1032" s="553"/>
      <c r="E1032" s="553"/>
      <c r="F1032" s="553"/>
      <c r="G1032" s="553"/>
      <c r="H1032" s="553"/>
      <c r="I1032" s="553"/>
      <c r="J1032" s="490"/>
    </row>
    <row r="1033" spans="1:10" x14ac:dyDescent="0.25">
      <c r="A1033" s="488"/>
      <c r="B1033" s="553"/>
      <c r="C1033" s="553"/>
      <c r="D1033" s="553"/>
      <c r="E1033" s="553"/>
      <c r="F1033" s="553"/>
      <c r="G1033" s="553"/>
      <c r="H1033" s="553"/>
      <c r="I1033" s="553"/>
      <c r="J1033" s="490"/>
    </row>
    <row r="1034" spans="1:10" x14ac:dyDescent="0.25">
      <c r="A1034" s="488"/>
      <c r="B1034" s="553"/>
      <c r="C1034" s="553"/>
      <c r="D1034" s="553"/>
      <c r="E1034" s="553"/>
      <c r="F1034" s="553"/>
      <c r="G1034" s="553"/>
      <c r="H1034" s="553"/>
      <c r="I1034" s="553"/>
      <c r="J1034" s="490"/>
    </row>
    <row r="1035" spans="1:10" x14ac:dyDescent="0.25">
      <c r="A1035" s="488"/>
      <c r="B1035" s="553"/>
      <c r="C1035" s="553"/>
      <c r="D1035" s="553"/>
      <c r="E1035" s="553"/>
      <c r="F1035" s="553"/>
      <c r="G1035" s="553"/>
      <c r="H1035" s="553"/>
      <c r="I1035" s="553"/>
      <c r="J1035" s="490"/>
    </row>
    <row r="1036" spans="1:10" x14ac:dyDescent="0.25">
      <c r="A1036" s="488"/>
      <c r="B1036" s="553"/>
      <c r="C1036" s="553"/>
      <c r="D1036" s="553"/>
      <c r="E1036" s="553"/>
      <c r="F1036" s="553"/>
      <c r="G1036" s="553"/>
      <c r="H1036" s="553"/>
      <c r="I1036" s="553"/>
      <c r="J1036" s="490"/>
    </row>
    <row r="1037" spans="1:10" x14ac:dyDescent="0.25">
      <c r="A1037" s="488"/>
      <c r="B1037" s="553"/>
      <c r="C1037" s="553"/>
      <c r="D1037" s="553"/>
      <c r="E1037" s="553"/>
      <c r="F1037" s="553"/>
      <c r="G1037" s="553"/>
      <c r="H1037" s="553"/>
      <c r="I1037" s="553"/>
      <c r="J1037" s="490"/>
    </row>
    <row r="1038" spans="1:10" x14ac:dyDescent="0.25">
      <c r="A1038" s="488"/>
      <c r="B1038" s="553"/>
      <c r="C1038" s="553"/>
      <c r="D1038" s="553"/>
      <c r="E1038" s="553"/>
      <c r="F1038" s="553"/>
      <c r="G1038" s="553"/>
      <c r="H1038" s="553"/>
      <c r="I1038" s="553"/>
      <c r="J1038" s="490"/>
    </row>
    <row r="1039" spans="1:10" x14ac:dyDescent="0.25">
      <c r="A1039" s="488"/>
      <c r="B1039" s="553"/>
      <c r="C1039" s="553"/>
      <c r="D1039" s="553"/>
      <c r="E1039" s="553"/>
      <c r="F1039" s="553"/>
      <c r="G1039" s="553"/>
      <c r="H1039" s="553"/>
      <c r="I1039" s="553"/>
      <c r="J1039" s="490"/>
    </row>
    <row r="1040" spans="1:10" x14ac:dyDescent="0.25">
      <c r="A1040" s="491"/>
      <c r="B1040" s="492"/>
      <c r="C1040" s="492"/>
      <c r="D1040" s="492"/>
      <c r="E1040" s="492"/>
      <c r="F1040" s="492"/>
      <c r="G1040" s="492"/>
      <c r="H1040" s="492"/>
      <c r="I1040" s="492"/>
      <c r="J1040" s="493"/>
    </row>
    <row r="1043" spans="1:10" ht="13.8" x14ac:dyDescent="0.25">
      <c r="A1043" s="466" t="s">
        <v>967</v>
      </c>
      <c r="B1043" s="467"/>
      <c r="C1043" s="467"/>
      <c r="D1043" s="467"/>
      <c r="E1043" s="467"/>
      <c r="F1043" s="467"/>
      <c r="G1043" s="467"/>
      <c r="H1043" s="467"/>
      <c r="I1043" s="467"/>
      <c r="J1043" s="468"/>
    </row>
    <row r="1044" spans="1:10" x14ac:dyDescent="0.25">
      <c r="A1044" s="463" t="s">
        <v>854</v>
      </c>
      <c r="B1044" s="464"/>
      <c r="C1044" s="464"/>
      <c r="D1044" s="465"/>
    </row>
    <row r="1045" spans="1:10" x14ac:dyDescent="0.25">
      <c r="A1045" s="503" t="s">
        <v>853</v>
      </c>
      <c r="B1045" s="504"/>
      <c r="C1045" s="504"/>
      <c r="D1045" s="505"/>
    </row>
    <row r="1046" spans="1:10" x14ac:dyDescent="0.25">
      <c r="A1046" s="541" t="s">
        <v>808</v>
      </c>
      <c r="B1046" s="542"/>
      <c r="C1046" s="542"/>
      <c r="D1046" s="543"/>
    </row>
    <row r="1047" spans="1:10" ht="27" customHeight="1" x14ac:dyDescent="0.25">
      <c r="A1047" s="157"/>
      <c r="B1047" s="232"/>
      <c r="C1047" s="232"/>
      <c r="D1047" s="232"/>
      <c r="E1047" s="482" t="s">
        <v>535</v>
      </c>
      <c r="F1047" s="483"/>
      <c r="G1047" s="482" t="s">
        <v>533</v>
      </c>
      <c r="H1047" s="483"/>
      <c r="I1047" s="484" t="s">
        <v>849</v>
      </c>
      <c r="J1047" s="485"/>
    </row>
    <row r="1048" spans="1:10" x14ac:dyDescent="0.25">
      <c r="A1048" s="448" t="s">
        <v>527</v>
      </c>
      <c r="B1048" s="449"/>
      <c r="C1048" s="449"/>
      <c r="D1048" s="450"/>
      <c r="E1048" s="456"/>
      <c r="F1048" s="456"/>
      <c r="G1048" s="456"/>
      <c r="H1048" s="456"/>
      <c r="I1048" s="457"/>
      <c r="J1048" s="457"/>
    </row>
    <row r="1049" spans="1:10" x14ac:dyDescent="0.25">
      <c r="A1049" s="452" t="s">
        <v>528</v>
      </c>
      <c r="B1049" s="453"/>
      <c r="C1049" s="453"/>
      <c r="D1049" s="454"/>
      <c r="E1049" s="439"/>
      <c r="F1049" s="439"/>
      <c r="G1049" s="440"/>
      <c r="H1049" s="440"/>
      <c r="I1049" s="455"/>
      <c r="J1049" s="455"/>
    </row>
    <row r="1050" spans="1:10" x14ac:dyDescent="0.25">
      <c r="A1050" s="448" t="s">
        <v>529</v>
      </c>
      <c r="B1050" s="449"/>
      <c r="C1050" s="449"/>
      <c r="D1050" s="450"/>
      <c r="E1050" s="456"/>
      <c r="F1050" s="456"/>
      <c r="G1050" s="456"/>
      <c r="H1050" s="456"/>
      <c r="I1050" s="457"/>
      <c r="J1050" s="457"/>
    </row>
    <row r="1051" spans="1:10" x14ac:dyDescent="0.25">
      <c r="A1051" s="452" t="s">
        <v>530</v>
      </c>
      <c r="B1051" s="453"/>
      <c r="C1051" s="453"/>
      <c r="D1051" s="454"/>
      <c r="E1051" s="460"/>
      <c r="F1051" s="460"/>
      <c r="G1051" s="440"/>
      <c r="H1051" s="440"/>
      <c r="I1051" s="455"/>
      <c r="J1051" s="455"/>
    </row>
    <row r="1052" spans="1:10" x14ac:dyDescent="0.25">
      <c r="A1052" s="448" t="s">
        <v>531</v>
      </c>
      <c r="B1052" s="449"/>
      <c r="C1052" s="449"/>
      <c r="D1052" s="450"/>
      <c r="E1052" s="456"/>
      <c r="F1052" s="456"/>
      <c r="G1052" s="456"/>
      <c r="H1052" s="456"/>
      <c r="I1052" s="457"/>
      <c r="J1052" s="457"/>
    </row>
    <row r="1053" spans="1:10" x14ac:dyDescent="0.25">
      <c r="A1053" s="452" t="s">
        <v>532</v>
      </c>
      <c r="B1053" s="453"/>
      <c r="C1053" s="453"/>
      <c r="D1053" s="454"/>
      <c r="E1053" s="439"/>
      <c r="F1053" s="439"/>
      <c r="G1053" s="440"/>
      <c r="H1053" s="440"/>
      <c r="I1053" s="455"/>
      <c r="J1053" s="455"/>
    </row>
    <row r="1054" spans="1:10" x14ac:dyDescent="0.25">
      <c r="A1054" s="448" t="s">
        <v>537</v>
      </c>
      <c r="B1054" s="449"/>
      <c r="C1054" s="449"/>
      <c r="D1054" s="450"/>
      <c r="E1054" s="451"/>
      <c r="F1054" s="451"/>
      <c r="G1054" s="451"/>
      <c r="H1054" s="451"/>
      <c r="I1054" s="445"/>
      <c r="J1054" s="445"/>
    </row>
    <row r="1055" spans="1:10" x14ac:dyDescent="0.25">
      <c r="A1055" s="436"/>
      <c r="B1055" s="437"/>
      <c r="C1055" s="437"/>
      <c r="D1055" s="438"/>
      <c r="E1055" s="439"/>
      <c r="F1055" s="439"/>
      <c r="G1055" s="440"/>
      <c r="H1055" s="440"/>
      <c r="I1055" s="440"/>
      <c r="J1055" s="440"/>
    </row>
    <row r="1056" spans="1:10" x14ac:dyDescent="0.25">
      <c r="A1056" s="436"/>
      <c r="B1056" s="437"/>
      <c r="C1056" s="437"/>
      <c r="D1056" s="438"/>
      <c r="E1056" s="439"/>
      <c r="F1056" s="439"/>
      <c r="G1056" s="440"/>
      <c r="H1056" s="440"/>
      <c r="I1056" s="440"/>
      <c r="J1056" s="440"/>
    </row>
    <row r="1057" spans="1:10" x14ac:dyDescent="0.25">
      <c r="A1057" s="436"/>
      <c r="B1057" s="437"/>
      <c r="C1057" s="437"/>
      <c r="D1057" s="438"/>
      <c r="E1057" s="439"/>
      <c r="F1057" s="439"/>
      <c r="G1057" s="440"/>
      <c r="H1057" s="440"/>
      <c r="I1057" s="440"/>
      <c r="J1057" s="440"/>
    </row>
    <row r="1058" spans="1:10" x14ac:dyDescent="0.25">
      <c r="A1058" s="441" t="s">
        <v>534</v>
      </c>
      <c r="B1058" s="442"/>
      <c r="C1058" s="442"/>
      <c r="D1058" s="443"/>
      <c r="E1058" s="444">
        <f>SUM(E1048:E1057)</f>
        <v>0</v>
      </c>
      <c r="F1058" s="444"/>
      <c r="G1058" s="444">
        <f>SUM(G1048:G1057)</f>
        <v>0</v>
      </c>
      <c r="H1058" s="444"/>
      <c r="I1058" s="444">
        <f>SUM(I1048:I1057)</f>
        <v>0</v>
      </c>
      <c r="J1058" s="444"/>
    </row>
    <row r="1059" spans="1:10" x14ac:dyDescent="0.25">
      <c r="A1059" s="494" t="s">
        <v>861</v>
      </c>
      <c r="B1059" s="495"/>
      <c r="C1059" s="495"/>
      <c r="D1059" s="495"/>
      <c r="E1059" s="495"/>
      <c r="F1059" s="495"/>
      <c r="G1059" s="495"/>
      <c r="H1059" s="495"/>
      <c r="I1059" s="495"/>
      <c r="J1059" s="496"/>
    </row>
    <row r="1060" spans="1:10" x14ac:dyDescent="0.25">
      <c r="A1060" s="497" t="s">
        <v>862</v>
      </c>
      <c r="B1060" s="498"/>
      <c r="C1060" s="498"/>
      <c r="D1060" s="498"/>
      <c r="E1060" s="498"/>
      <c r="F1060" s="498"/>
      <c r="G1060" s="498"/>
      <c r="H1060" s="498"/>
      <c r="I1060" s="498"/>
      <c r="J1060" s="499"/>
    </row>
    <row r="1061" spans="1:10" x14ac:dyDescent="0.25">
      <c r="A1061" s="497" t="s">
        <v>863</v>
      </c>
      <c r="B1061" s="498"/>
      <c r="C1061" s="498"/>
      <c r="D1061" s="498"/>
      <c r="E1061" s="498"/>
      <c r="F1061" s="498"/>
      <c r="G1061" s="498"/>
      <c r="H1061" s="498"/>
      <c r="I1061" s="498"/>
      <c r="J1061" s="499"/>
    </row>
    <row r="1062" spans="1:10" x14ac:dyDescent="0.25">
      <c r="A1062" s="500" t="s">
        <v>864</v>
      </c>
      <c r="B1062" s="501"/>
      <c r="C1062" s="501"/>
      <c r="D1062" s="501"/>
      <c r="E1062" s="501"/>
      <c r="F1062" s="501"/>
      <c r="G1062" s="501"/>
      <c r="H1062" s="501"/>
      <c r="I1062" s="501"/>
      <c r="J1062" s="502"/>
    </row>
    <row r="1063" spans="1:10" x14ac:dyDescent="0.25">
      <c r="A1063" s="305"/>
      <c r="B1063" s="486"/>
      <c r="C1063" s="486"/>
      <c r="D1063" s="486"/>
      <c r="E1063" s="486"/>
      <c r="F1063" s="486"/>
      <c r="G1063" s="486"/>
      <c r="H1063" s="486"/>
      <c r="I1063" s="486"/>
      <c r="J1063" s="487"/>
    </row>
    <row r="1064" spans="1:10" x14ac:dyDescent="0.25">
      <c r="A1064" s="488"/>
      <c r="B1064" s="553"/>
      <c r="C1064" s="553"/>
      <c r="D1064" s="553"/>
      <c r="E1064" s="553"/>
      <c r="F1064" s="553"/>
      <c r="G1064" s="553"/>
      <c r="H1064" s="553"/>
      <c r="I1064" s="553"/>
      <c r="J1064" s="490"/>
    </row>
    <row r="1065" spans="1:10" x14ac:dyDescent="0.25">
      <c r="A1065" s="488"/>
      <c r="B1065" s="553"/>
      <c r="C1065" s="553"/>
      <c r="D1065" s="553"/>
      <c r="E1065" s="553"/>
      <c r="F1065" s="553"/>
      <c r="G1065" s="553"/>
      <c r="H1065" s="553"/>
      <c r="I1065" s="553"/>
      <c r="J1065" s="490"/>
    </row>
    <row r="1066" spans="1:10" x14ac:dyDescent="0.25">
      <c r="A1066" s="488"/>
      <c r="B1066" s="553"/>
      <c r="C1066" s="553"/>
      <c r="D1066" s="553"/>
      <c r="E1066" s="553"/>
      <c r="F1066" s="553"/>
      <c r="G1066" s="553"/>
      <c r="H1066" s="553"/>
      <c r="I1066" s="553"/>
      <c r="J1066" s="490"/>
    </row>
    <row r="1067" spans="1:10" x14ac:dyDescent="0.25">
      <c r="A1067" s="488"/>
      <c r="B1067" s="553"/>
      <c r="C1067" s="553"/>
      <c r="D1067" s="553"/>
      <c r="E1067" s="553"/>
      <c r="F1067" s="553"/>
      <c r="G1067" s="553"/>
      <c r="H1067" s="553"/>
      <c r="I1067" s="553"/>
      <c r="J1067" s="490"/>
    </row>
    <row r="1068" spans="1:10" x14ac:dyDescent="0.25">
      <c r="A1068" s="488"/>
      <c r="B1068" s="553"/>
      <c r="C1068" s="553"/>
      <c r="D1068" s="553"/>
      <c r="E1068" s="553"/>
      <c r="F1068" s="553"/>
      <c r="G1068" s="553"/>
      <c r="H1068" s="553"/>
      <c r="I1068" s="553"/>
      <c r="J1068" s="490"/>
    </row>
    <row r="1069" spans="1:10" x14ac:dyDescent="0.25">
      <c r="A1069" s="488"/>
      <c r="B1069" s="553"/>
      <c r="C1069" s="553"/>
      <c r="D1069" s="553"/>
      <c r="E1069" s="553"/>
      <c r="F1069" s="553"/>
      <c r="G1069" s="553"/>
      <c r="H1069" s="553"/>
      <c r="I1069" s="553"/>
      <c r="J1069" s="490"/>
    </row>
    <row r="1070" spans="1:10" x14ac:dyDescent="0.25">
      <c r="A1070" s="488"/>
      <c r="B1070" s="553"/>
      <c r="C1070" s="553"/>
      <c r="D1070" s="553"/>
      <c r="E1070" s="553"/>
      <c r="F1070" s="553"/>
      <c r="G1070" s="553"/>
      <c r="H1070" s="553"/>
      <c r="I1070" s="553"/>
      <c r="J1070" s="490"/>
    </row>
    <row r="1071" spans="1:10" x14ac:dyDescent="0.25">
      <c r="A1071" s="488"/>
      <c r="B1071" s="553"/>
      <c r="C1071" s="553"/>
      <c r="D1071" s="553"/>
      <c r="E1071" s="553"/>
      <c r="F1071" s="553"/>
      <c r="G1071" s="553"/>
      <c r="H1071" s="553"/>
      <c r="I1071" s="553"/>
      <c r="J1071" s="490"/>
    </row>
    <row r="1072" spans="1:10" x14ac:dyDescent="0.25">
      <c r="A1072" s="488"/>
      <c r="B1072" s="553"/>
      <c r="C1072" s="553"/>
      <c r="D1072" s="553"/>
      <c r="E1072" s="553"/>
      <c r="F1072" s="553"/>
      <c r="G1072" s="553"/>
      <c r="H1072" s="553"/>
      <c r="I1072" s="553"/>
      <c r="J1072" s="490"/>
    </row>
    <row r="1073" spans="1:10" x14ac:dyDescent="0.25">
      <c r="A1073" s="488"/>
      <c r="B1073" s="553"/>
      <c r="C1073" s="553"/>
      <c r="D1073" s="553"/>
      <c r="E1073" s="553"/>
      <c r="F1073" s="553"/>
      <c r="G1073" s="553"/>
      <c r="H1073" s="553"/>
      <c r="I1073" s="553"/>
      <c r="J1073" s="490"/>
    </row>
    <row r="1074" spans="1:10" x14ac:dyDescent="0.25">
      <c r="A1074" s="488"/>
      <c r="B1074" s="553"/>
      <c r="C1074" s="553"/>
      <c r="D1074" s="553"/>
      <c r="E1074" s="553"/>
      <c r="F1074" s="553"/>
      <c r="G1074" s="553"/>
      <c r="H1074" s="553"/>
      <c r="I1074" s="553"/>
      <c r="J1074" s="490"/>
    </row>
    <row r="1075" spans="1:10" x14ac:dyDescent="0.25">
      <c r="A1075" s="488"/>
      <c r="B1075" s="553"/>
      <c r="C1075" s="553"/>
      <c r="D1075" s="553"/>
      <c r="E1075" s="553"/>
      <c r="F1075" s="553"/>
      <c r="G1075" s="553"/>
      <c r="H1075" s="553"/>
      <c r="I1075" s="553"/>
      <c r="J1075" s="490"/>
    </row>
    <row r="1076" spans="1:10" x14ac:dyDescent="0.25">
      <c r="A1076" s="488"/>
      <c r="B1076" s="553"/>
      <c r="C1076" s="553"/>
      <c r="D1076" s="553"/>
      <c r="E1076" s="553"/>
      <c r="F1076" s="553"/>
      <c r="G1076" s="553"/>
      <c r="H1076" s="553"/>
      <c r="I1076" s="553"/>
      <c r="J1076" s="490"/>
    </row>
    <row r="1077" spans="1:10" x14ac:dyDescent="0.25">
      <c r="A1077" s="488"/>
      <c r="B1077" s="553"/>
      <c r="C1077" s="553"/>
      <c r="D1077" s="553"/>
      <c r="E1077" s="553"/>
      <c r="F1077" s="553"/>
      <c r="G1077" s="553"/>
      <c r="H1077" s="553"/>
      <c r="I1077" s="553"/>
      <c r="J1077" s="490"/>
    </row>
    <row r="1078" spans="1:10" x14ac:dyDescent="0.25">
      <c r="A1078" s="488"/>
      <c r="B1078" s="553"/>
      <c r="C1078" s="553"/>
      <c r="D1078" s="553"/>
      <c r="E1078" s="553"/>
      <c r="F1078" s="553"/>
      <c r="G1078" s="553"/>
      <c r="H1078" s="553"/>
      <c r="I1078" s="553"/>
      <c r="J1078" s="490"/>
    </row>
    <row r="1079" spans="1:10" x14ac:dyDescent="0.25">
      <c r="A1079" s="488"/>
      <c r="B1079" s="553"/>
      <c r="C1079" s="553"/>
      <c r="D1079" s="553"/>
      <c r="E1079" s="553"/>
      <c r="F1079" s="553"/>
      <c r="G1079" s="553"/>
      <c r="H1079" s="553"/>
      <c r="I1079" s="553"/>
      <c r="J1079" s="490"/>
    </row>
    <row r="1080" spans="1:10" x14ac:dyDescent="0.25">
      <c r="A1080" s="488"/>
      <c r="B1080" s="553"/>
      <c r="C1080" s="553"/>
      <c r="D1080" s="553"/>
      <c r="E1080" s="553"/>
      <c r="F1080" s="553"/>
      <c r="G1080" s="553"/>
      <c r="H1080" s="553"/>
      <c r="I1080" s="553"/>
      <c r="J1080" s="490"/>
    </row>
    <row r="1081" spans="1:10" x14ac:dyDescent="0.25">
      <c r="A1081" s="488"/>
      <c r="B1081" s="553"/>
      <c r="C1081" s="553"/>
      <c r="D1081" s="553"/>
      <c r="E1081" s="553"/>
      <c r="F1081" s="553"/>
      <c r="G1081" s="553"/>
      <c r="H1081" s="553"/>
      <c r="I1081" s="553"/>
      <c r="J1081" s="490"/>
    </row>
    <row r="1082" spans="1:10" x14ac:dyDescent="0.25">
      <c r="A1082" s="488"/>
      <c r="B1082" s="553"/>
      <c r="C1082" s="553"/>
      <c r="D1082" s="553"/>
      <c r="E1082" s="553"/>
      <c r="F1082" s="553"/>
      <c r="G1082" s="553"/>
      <c r="H1082" s="553"/>
      <c r="I1082" s="553"/>
      <c r="J1082" s="490"/>
    </row>
    <row r="1083" spans="1:10" x14ac:dyDescent="0.25">
      <c r="A1083" s="488"/>
      <c r="B1083" s="553"/>
      <c r="C1083" s="553"/>
      <c r="D1083" s="553"/>
      <c r="E1083" s="553"/>
      <c r="F1083" s="553"/>
      <c r="G1083" s="553"/>
      <c r="H1083" s="553"/>
      <c r="I1083" s="553"/>
      <c r="J1083" s="490"/>
    </row>
    <row r="1084" spans="1:10" x14ac:dyDescent="0.25">
      <c r="A1084" s="488"/>
      <c r="B1084" s="553"/>
      <c r="C1084" s="553"/>
      <c r="D1084" s="553"/>
      <c r="E1084" s="553"/>
      <c r="F1084" s="553"/>
      <c r="G1084" s="553"/>
      <c r="H1084" s="553"/>
      <c r="I1084" s="553"/>
      <c r="J1084" s="490"/>
    </row>
    <row r="1085" spans="1:10" x14ac:dyDescent="0.25">
      <c r="A1085" s="488"/>
      <c r="B1085" s="553"/>
      <c r="C1085" s="553"/>
      <c r="D1085" s="553"/>
      <c r="E1085" s="553"/>
      <c r="F1085" s="553"/>
      <c r="G1085" s="553"/>
      <c r="H1085" s="553"/>
      <c r="I1085" s="553"/>
      <c r="J1085" s="490"/>
    </row>
    <row r="1086" spans="1:10" x14ac:dyDescent="0.25">
      <c r="A1086" s="488"/>
      <c r="B1086" s="553"/>
      <c r="C1086" s="553"/>
      <c r="D1086" s="553"/>
      <c r="E1086" s="553"/>
      <c r="F1086" s="553"/>
      <c r="G1086" s="553"/>
      <c r="H1086" s="553"/>
      <c r="I1086" s="553"/>
      <c r="J1086" s="490"/>
    </row>
    <row r="1087" spans="1:10" x14ac:dyDescent="0.25">
      <c r="A1087" s="488"/>
      <c r="B1087" s="553"/>
      <c r="C1087" s="553"/>
      <c r="D1087" s="553"/>
      <c r="E1087" s="553"/>
      <c r="F1087" s="553"/>
      <c r="G1087" s="553"/>
      <c r="H1087" s="553"/>
      <c r="I1087" s="553"/>
      <c r="J1087" s="490"/>
    </row>
    <row r="1088" spans="1:10" x14ac:dyDescent="0.25">
      <c r="A1088" s="488"/>
      <c r="B1088" s="553"/>
      <c r="C1088" s="553"/>
      <c r="D1088" s="553"/>
      <c r="E1088" s="553"/>
      <c r="F1088" s="553"/>
      <c r="G1088" s="553"/>
      <c r="H1088" s="553"/>
      <c r="I1088" s="553"/>
      <c r="J1088" s="490"/>
    </row>
    <row r="1089" spans="1:10" x14ac:dyDescent="0.25">
      <c r="A1089" s="488"/>
      <c r="B1089" s="553"/>
      <c r="C1089" s="553"/>
      <c r="D1089" s="553"/>
      <c r="E1089" s="553"/>
      <c r="F1089" s="553"/>
      <c r="G1089" s="553"/>
      <c r="H1089" s="553"/>
      <c r="I1089" s="553"/>
      <c r="J1089" s="490"/>
    </row>
    <row r="1090" spans="1:10" x14ac:dyDescent="0.25">
      <c r="A1090" s="488"/>
      <c r="B1090" s="553"/>
      <c r="C1090" s="553"/>
      <c r="D1090" s="553"/>
      <c r="E1090" s="553"/>
      <c r="F1090" s="553"/>
      <c r="G1090" s="553"/>
      <c r="H1090" s="553"/>
      <c r="I1090" s="553"/>
      <c r="J1090" s="490"/>
    </row>
    <row r="1091" spans="1:10" x14ac:dyDescent="0.25">
      <c r="A1091" s="488"/>
      <c r="B1091" s="553"/>
      <c r="C1091" s="553"/>
      <c r="D1091" s="553"/>
      <c r="E1091" s="553"/>
      <c r="F1091" s="553"/>
      <c r="G1091" s="553"/>
      <c r="H1091" s="553"/>
      <c r="I1091" s="553"/>
      <c r="J1091" s="490"/>
    </row>
    <row r="1092" spans="1:10" x14ac:dyDescent="0.25">
      <c r="A1092" s="488"/>
      <c r="B1092" s="553"/>
      <c r="C1092" s="553"/>
      <c r="D1092" s="553"/>
      <c r="E1092" s="553"/>
      <c r="F1092" s="553"/>
      <c r="G1092" s="553"/>
      <c r="H1092" s="553"/>
      <c r="I1092" s="553"/>
      <c r="J1092" s="490"/>
    </row>
    <row r="1093" spans="1:10" x14ac:dyDescent="0.25">
      <c r="A1093" s="488"/>
      <c r="B1093" s="553"/>
      <c r="C1093" s="553"/>
      <c r="D1093" s="553"/>
      <c r="E1093" s="553"/>
      <c r="F1093" s="553"/>
      <c r="G1093" s="553"/>
      <c r="H1093" s="553"/>
      <c r="I1093" s="553"/>
      <c r="J1093" s="490"/>
    </row>
    <row r="1094" spans="1:10" x14ac:dyDescent="0.25">
      <c r="A1094" s="488"/>
      <c r="B1094" s="553"/>
      <c r="C1094" s="553"/>
      <c r="D1094" s="553"/>
      <c r="E1094" s="553"/>
      <c r="F1094" s="553"/>
      <c r="G1094" s="553"/>
      <c r="H1094" s="553"/>
      <c r="I1094" s="553"/>
      <c r="J1094" s="490"/>
    </row>
    <row r="1095" spans="1:10" x14ac:dyDescent="0.25">
      <c r="A1095" s="488"/>
      <c r="B1095" s="553"/>
      <c r="C1095" s="553"/>
      <c r="D1095" s="553"/>
      <c r="E1095" s="553"/>
      <c r="F1095" s="553"/>
      <c r="G1095" s="553"/>
      <c r="H1095" s="553"/>
      <c r="I1095" s="553"/>
      <c r="J1095" s="490"/>
    </row>
    <row r="1096" spans="1:10" x14ac:dyDescent="0.25">
      <c r="A1096" s="488"/>
      <c r="B1096" s="553"/>
      <c r="C1096" s="553"/>
      <c r="D1096" s="553"/>
      <c r="E1096" s="553"/>
      <c r="F1096" s="553"/>
      <c r="G1096" s="553"/>
      <c r="H1096" s="553"/>
      <c r="I1096" s="553"/>
      <c r="J1096" s="490"/>
    </row>
    <row r="1097" spans="1:10" x14ac:dyDescent="0.25">
      <c r="A1097" s="491"/>
      <c r="B1097" s="492"/>
      <c r="C1097" s="492"/>
      <c r="D1097" s="492"/>
      <c r="E1097" s="492"/>
      <c r="F1097" s="492"/>
      <c r="G1097" s="492"/>
      <c r="H1097" s="492"/>
      <c r="I1097" s="492"/>
      <c r="J1097" s="493"/>
    </row>
    <row r="1101" spans="1:10" ht="8.1" customHeight="1" x14ac:dyDescent="0.25"/>
    <row r="1106" ht="27" customHeight="1" x14ac:dyDescent="0.25"/>
    <row r="1159" ht="8.1" customHeight="1" x14ac:dyDescent="0.25"/>
    <row r="1164" ht="27" customHeight="1" x14ac:dyDescent="0.25"/>
    <row r="1217" ht="8.1" customHeight="1" x14ac:dyDescent="0.25"/>
    <row r="1222" ht="27" customHeight="1" x14ac:dyDescent="0.25"/>
  </sheetData>
  <mergeCells count="1033">
    <mergeCell ref="A999:D999"/>
    <mergeCell ref="E999:F999"/>
    <mergeCell ref="G999:H999"/>
    <mergeCell ref="I999:J999"/>
    <mergeCell ref="A996:D996"/>
    <mergeCell ref="E996:F996"/>
    <mergeCell ref="G996:H996"/>
    <mergeCell ref="I996:J996"/>
    <mergeCell ref="A997:D997"/>
    <mergeCell ref="E997:F997"/>
    <mergeCell ref="G997:H997"/>
    <mergeCell ref="I997:J997"/>
    <mergeCell ref="A1002:J1002"/>
    <mergeCell ref="A1003:J1003"/>
    <mergeCell ref="A1004:J1004"/>
    <mergeCell ref="A1005:J1005"/>
    <mergeCell ref="A1006:J1040"/>
    <mergeCell ref="A1000:D1000"/>
    <mergeCell ref="E1000:F1000"/>
    <mergeCell ref="G1000:H1000"/>
    <mergeCell ref="I1000:J1000"/>
    <mergeCell ref="A1001:D1001"/>
    <mergeCell ref="E1001:F1001"/>
    <mergeCell ref="G1001:H1001"/>
    <mergeCell ref="I1001:J1001"/>
    <mergeCell ref="A994:D994"/>
    <mergeCell ref="E935:F935"/>
    <mergeCell ref="G994:H994"/>
    <mergeCell ref="I994:J994"/>
    <mergeCell ref="A995:D995"/>
    <mergeCell ref="E995:F995"/>
    <mergeCell ref="G995:H995"/>
    <mergeCell ref="I995:J995"/>
    <mergeCell ref="A992:D992"/>
    <mergeCell ref="E992:F992"/>
    <mergeCell ref="G992:H992"/>
    <mergeCell ref="I992:J992"/>
    <mergeCell ref="A993:D993"/>
    <mergeCell ref="G993:H993"/>
    <mergeCell ref="I993:J993"/>
    <mergeCell ref="A998:D998"/>
    <mergeCell ref="E998:F998"/>
    <mergeCell ref="G998:H998"/>
    <mergeCell ref="I998:J998"/>
    <mergeCell ref="A984:G984"/>
    <mergeCell ref="H984:J984"/>
    <mergeCell ref="A942:D942"/>
    <mergeCell ref="E942:F942"/>
    <mergeCell ref="G942:H942"/>
    <mergeCell ref="I942:J942"/>
    <mergeCell ref="A943:D943"/>
    <mergeCell ref="E943:F943"/>
    <mergeCell ref="G943:H943"/>
    <mergeCell ref="I943:J943"/>
    <mergeCell ref="E990:F990"/>
    <mergeCell ref="G990:H990"/>
    <mergeCell ref="I990:J990"/>
    <mergeCell ref="A991:D991"/>
    <mergeCell ref="E991:F991"/>
    <mergeCell ref="G991:H991"/>
    <mergeCell ref="I991:J991"/>
    <mergeCell ref="A986:J986"/>
    <mergeCell ref="A987:D987"/>
    <mergeCell ref="A988:D988"/>
    <mergeCell ref="A989:D989"/>
    <mergeCell ref="E989:J989"/>
    <mergeCell ref="A941:D941"/>
    <mergeCell ref="E941:F941"/>
    <mergeCell ref="G941:H941"/>
    <mergeCell ref="I941:J941"/>
    <mergeCell ref="A938:D938"/>
    <mergeCell ref="E938:F938"/>
    <mergeCell ref="G938:H938"/>
    <mergeCell ref="I938:J938"/>
    <mergeCell ref="A939:D939"/>
    <mergeCell ref="E939:F939"/>
    <mergeCell ref="G939:H939"/>
    <mergeCell ref="I939:J939"/>
    <mergeCell ref="A944:J944"/>
    <mergeCell ref="A945:J945"/>
    <mergeCell ref="A946:J946"/>
    <mergeCell ref="A947:J947"/>
    <mergeCell ref="A948:J982"/>
    <mergeCell ref="A936:D936"/>
    <mergeCell ref="E936:F936"/>
    <mergeCell ref="G936:H936"/>
    <mergeCell ref="I936:J936"/>
    <mergeCell ref="A937:D937"/>
    <mergeCell ref="E937:F937"/>
    <mergeCell ref="G937:H937"/>
    <mergeCell ref="I937:J937"/>
    <mergeCell ref="A934:D934"/>
    <mergeCell ref="E934:F934"/>
    <mergeCell ref="G934:H934"/>
    <mergeCell ref="I934:J934"/>
    <mergeCell ref="A935:D935"/>
    <mergeCell ref="G935:H935"/>
    <mergeCell ref="I935:J935"/>
    <mergeCell ref="A940:D940"/>
    <mergeCell ref="E940:F940"/>
    <mergeCell ref="G940:H940"/>
    <mergeCell ref="I940:J940"/>
    <mergeCell ref="A926:G926"/>
    <mergeCell ref="H926:J926"/>
    <mergeCell ref="A884:D884"/>
    <mergeCell ref="E884:F884"/>
    <mergeCell ref="G884:H884"/>
    <mergeCell ref="I884:J884"/>
    <mergeCell ref="A885:D885"/>
    <mergeCell ref="E885:F885"/>
    <mergeCell ref="G885:H885"/>
    <mergeCell ref="I885:J885"/>
    <mergeCell ref="E932:F932"/>
    <mergeCell ref="G932:H932"/>
    <mergeCell ref="I932:J932"/>
    <mergeCell ref="A933:D933"/>
    <mergeCell ref="E933:F933"/>
    <mergeCell ref="G933:H933"/>
    <mergeCell ref="I933:J933"/>
    <mergeCell ref="A928:J928"/>
    <mergeCell ref="A929:D929"/>
    <mergeCell ref="A930:D930"/>
    <mergeCell ref="A931:D931"/>
    <mergeCell ref="E929:J930"/>
    <mergeCell ref="A883:D883"/>
    <mergeCell ref="E883:F883"/>
    <mergeCell ref="G883:H883"/>
    <mergeCell ref="I883:J883"/>
    <mergeCell ref="A880:D880"/>
    <mergeCell ref="E880:F880"/>
    <mergeCell ref="G880:H880"/>
    <mergeCell ref="I880:J880"/>
    <mergeCell ref="A881:D881"/>
    <mergeCell ref="E881:F881"/>
    <mergeCell ref="G881:H881"/>
    <mergeCell ref="I881:J881"/>
    <mergeCell ref="A886:J886"/>
    <mergeCell ref="A887:J887"/>
    <mergeCell ref="A888:J888"/>
    <mergeCell ref="A889:J889"/>
    <mergeCell ref="A890:J924"/>
    <mergeCell ref="A878:D878"/>
    <mergeCell ref="G878:H878"/>
    <mergeCell ref="I878:J878"/>
    <mergeCell ref="A879:D879"/>
    <mergeCell ref="E879:F879"/>
    <mergeCell ref="G879:H879"/>
    <mergeCell ref="I879:J879"/>
    <mergeCell ref="A876:D876"/>
    <mergeCell ref="E876:F876"/>
    <mergeCell ref="G876:H876"/>
    <mergeCell ref="I876:J876"/>
    <mergeCell ref="A877:D877"/>
    <mergeCell ref="E762:F762"/>
    <mergeCell ref="G877:H877"/>
    <mergeCell ref="I877:J877"/>
    <mergeCell ref="A882:D882"/>
    <mergeCell ref="E882:F882"/>
    <mergeCell ref="G882:H882"/>
    <mergeCell ref="I882:J882"/>
    <mergeCell ref="E878:F878"/>
    <mergeCell ref="E877:F877"/>
    <mergeCell ref="A868:G868"/>
    <mergeCell ref="H868:J868"/>
    <mergeCell ref="A826:D826"/>
    <mergeCell ref="E826:F826"/>
    <mergeCell ref="G826:H826"/>
    <mergeCell ref="I826:J826"/>
    <mergeCell ref="A827:D827"/>
    <mergeCell ref="E827:F827"/>
    <mergeCell ref="G827:H827"/>
    <mergeCell ref="I827:J827"/>
    <mergeCell ref="E874:F874"/>
    <mergeCell ref="G874:H874"/>
    <mergeCell ref="I874:J874"/>
    <mergeCell ref="A875:D875"/>
    <mergeCell ref="E875:F875"/>
    <mergeCell ref="G875:H875"/>
    <mergeCell ref="I875:J875"/>
    <mergeCell ref="A870:J870"/>
    <mergeCell ref="A871:D871"/>
    <mergeCell ref="E871:J872"/>
    <mergeCell ref="A872:D872"/>
    <mergeCell ref="A873:D873"/>
    <mergeCell ref="E873:J873"/>
    <mergeCell ref="A825:D825"/>
    <mergeCell ref="E825:F825"/>
    <mergeCell ref="G825:H825"/>
    <mergeCell ref="I825:J825"/>
    <mergeCell ref="A822:D822"/>
    <mergeCell ref="E822:F822"/>
    <mergeCell ref="G822:H822"/>
    <mergeCell ref="I822:J822"/>
    <mergeCell ref="A823:D823"/>
    <mergeCell ref="E823:F823"/>
    <mergeCell ref="G823:H823"/>
    <mergeCell ref="I823:J823"/>
    <mergeCell ref="A828:J828"/>
    <mergeCell ref="A829:J829"/>
    <mergeCell ref="A830:J830"/>
    <mergeCell ref="A831:J831"/>
    <mergeCell ref="A832:J866"/>
    <mergeCell ref="A820:D820"/>
    <mergeCell ref="E820:F820"/>
    <mergeCell ref="G820:H820"/>
    <mergeCell ref="I820:J820"/>
    <mergeCell ref="A821:D821"/>
    <mergeCell ref="E821:F821"/>
    <mergeCell ref="G821:H821"/>
    <mergeCell ref="I821:J821"/>
    <mergeCell ref="A818:D818"/>
    <mergeCell ref="E818:F818"/>
    <mergeCell ref="G818:H818"/>
    <mergeCell ref="I818:J818"/>
    <mergeCell ref="A819:D819"/>
    <mergeCell ref="E819:F819"/>
    <mergeCell ref="G819:H819"/>
    <mergeCell ref="I819:J819"/>
    <mergeCell ref="A824:D824"/>
    <mergeCell ref="E824:F824"/>
    <mergeCell ref="G824:H824"/>
    <mergeCell ref="I824:J824"/>
    <mergeCell ref="A810:G810"/>
    <mergeCell ref="H810:J810"/>
    <mergeCell ref="A768:D768"/>
    <mergeCell ref="E768:F768"/>
    <mergeCell ref="G768:H768"/>
    <mergeCell ref="I768:J768"/>
    <mergeCell ref="A769:D769"/>
    <mergeCell ref="E769:F769"/>
    <mergeCell ref="G769:H769"/>
    <mergeCell ref="I769:J769"/>
    <mergeCell ref="E816:F816"/>
    <mergeCell ref="G816:H816"/>
    <mergeCell ref="I816:J816"/>
    <mergeCell ref="A817:D817"/>
    <mergeCell ref="E817:F817"/>
    <mergeCell ref="G817:H817"/>
    <mergeCell ref="I817:J817"/>
    <mergeCell ref="A812:J812"/>
    <mergeCell ref="A813:D813"/>
    <mergeCell ref="E813:J814"/>
    <mergeCell ref="A814:D814"/>
    <mergeCell ref="A815:D815"/>
    <mergeCell ref="E815:J815"/>
    <mergeCell ref="A767:D767"/>
    <mergeCell ref="E767:F767"/>
    <mergeCell ref="G767:H767"/>
    <mergeCell ref="I767:J767"/>
    <mergeCell ref="A764:D764"/>
    <mergeCell ref="E764:F764"/>
    <mergeCell ref="G764:H764"/>
    <mergeCell ref="I764:J764"/>
    <mergeCell ref="A765:D765"/>
    <mergeCell ref="E765:F765"/>
    <mergeCell ref="G765:H765"/>
    <mergeCell ref="I765:J765"/>
    <mergeCell ref="A770:J770"/>
    <mergeCell ref="A771:J771"/>
    <mergeCell ref="A772:J772"/>
    <mergeCell ref="A773:J773"/>
    <mergeCell ref="A774:J808"/>
    <mergeCell ref="A762:D762"/>
    <mergeCell ref="G762:H762"/>
    <mergeCell ref="I762:J762"/>
    <mergeCell ref="A763:D763"/>
    <mergeCell ref="E763:F763"/>
    <mergeCell ref="G763:H763"/>
    <mergeCell ref="I763:J763"/>
    <mergeCell ref="A760:D760"/>
    <mergeCell ref="E760:F760"/>
    <mergeCell ref="G760:H760"/>
    <mergeCell ref="I760:J760"/>
    <mergeCell ref="A761:D761"/>
    <mergeCell ref="G761:H761"/>
    <mergeCell ref="I761:J761"/>
    <mergeCell ref="A766:D766"/>
    <mergeCell ref="E766:F766"/>
    <mergeCell ref="G766:H766"/>
    <mergeCell ref="I766:J766"/>
    <mergeCell ref="E761:F761"/>
    <mergeCell ref="A752:G752"/>
    <mergeCell ref="H752:J752"/>
    <mergeCell ref="A710:D710"/>
    <mergeCell ref="E710:F710"/>
    <mergeCell ref="G710:H710"/>
    <mergeCell ref="I710:J710"/>
    <mergeCell ref="A711:D711"/>
    <mergeCell ref="E711:F711"/>
    <mergeCell ref="G711:H711"/>
    <mergeCell ref="I711:J711"/>
    <mergeCell ref="E758:F758"/>
    <mergeCell ref="G758:H758"/>
    <mergeCell ref="I758:J758"/>
    <mergeCell ref="A759:D759"/>
    <mergeCell ref="E759:F759"/>
    <mergeCell ref="G759:H759"/>
    <mergeCell ref="I759:J759"/>
    <mergeCell ref="A754:J754"/>
    <mergeCell ref="A755:D755"/>
    <mergeCell ref="E755:J756"/>
    <mergeCell ref="A756:D756"/>
    <mergeCell ref="A757:D757"/>
    <mergeCell ref="E757:J757"/>
    <mergeCell ref="A709:D709"/>
    <mergeCell ref="E709:F709"/>
    <mergeCell ref="G709:H709"/>
    <mergeCell ref="I709:J709"/>
    <mergeCell ref="A706:D706"/>
    <mergeCell ref="E706:F706"/>
    <mergeCell ref="G706:H706"/>
    <mergeCell ref="I706:J706"/>
    <mergeCell ref="A707:D707"/>
    <mergeCell ref="E707:F707"/>
    <mergeCell ref="G707:H707"/>
    <mergeCell ref="I707:J707"/>
    <mergeCell ref="A712:J712"/>
    <mergeCell ref="A713:J713"/>
    <mergeCell ref="A714:J714"/>
    <mergeCell ref="A715:J715"/>
    <mergeCell ref="A716:J750"/>
    <mergeCell ref="A705:D705"/>
    <mergeCell ref="E705:F705"/>
    <mergeCell ref="G705:H705"/>
    <mergeCell ref="I705:J705"/>
    <mergeCell ref="A702:D702"/>
    <mergeCell ref="E702:F702"/>
    <mergeCell ref="G702:H702"/>
    <mergeCell ref="I702:J702"/>
    <mergeCell ref="A703:D703"/>
    <mergeCell ref="E645:F645"/>
    <mergeCell ref="G703:H703"/>
    <mergeCell ref="I703:J703"/>
    <mergeCell ref="A708:D708"/>
    <mergeCell ref="E708:F708"/>
    <mergeCell ref="G708:H708"/>
    <mergeCell ref="I708:J708"/>
    <mergeCell ref="E703:F703"/>
    <mergeCell ref="A694:G694"/>
    <mergeCell ref="H694:J694"/>
    <mergeCell ref="A652:D652"/>
    <mergeCell ref="E652:F652"/>
    <mergeCell ref="G652:H652"/>
    <mergeCell ref="I652:J652"/>
    <mergeCell ref="A653:D653"/>
    <mergeCell ref="E653:F653"/>
    <mergeCell ref="G653:H653"/>
    <mergeCell ref="I653:J653"/>
    <mergeCell ref="E700:F700"/>
    <mergeCell ref="A648:D648"/>
    <mergeCell ref="E648:F648"/>
    <mergeCell ref="G648:H648"/>
    <mergeCell ref="I648:J648"/>
    <mergeCell ref="A657:J657"/>
    <mergeCell ref="A658:J692"/>
    <mergeCell ref="A704:D704"/>
    <mergeCell ref="E704:F704"/>
    <mergeCell ref="G704:H704"/>
    <mergeCell ref="I704:J704"/>
    <mergeCell ref="A650:D650"/>
    <mergeCell ref="E650:F650"/>
    <mergeCell ref="G650:H650"/>
    <mergeCell ref="I650:J650"/>
    <mergeCell ref="G700:H700"/>
    <mergeCell ref="I700:J700"/>
    <mergeCell ref="A701:D701"/>
    <mergeCell ref="E701:F701"/>
    <mergeCell ref="G701:H701"/>
    <mergeCell ref="I701:J701"/>
    <mergeCell ref="A696:J696"/>
    <mergeCell ref="A697:D697"/>
    <mergeCell ref="E697:J698"/>
    <mergeCell ref="A698:D698"/>
    <mergeCell ref="A699:D699"/>
    <mergeCell ref="E699:J699"/>
    <mergeCell ref="A651:D651"/>
    <mergeCell ref="E651:F651"/>
    <mergeCell ref="G651:H651"/>
    <mergeCell ref="I651:J651"/>
    <mergeCell ref="E646:F646"/>
    <mergeCell ref="G646:H646"/>
    <mergeCell ref="I646:J646"/>
    <mergeCell ref="A647:D647"/>
    <mergeCell ref="E647:F647"/>
    <mergeCell ref="G647:H647"/>
    <mergeCell ref="I647:J647"/>
    <mergeCell ref="A644:D644"/>
    <mergeCell ref="E644:F644"/>
    <mergeCell ref="G644:H644"/>
    <mergeCell ref="I644:J644"/>
    <mergeCell ref="A645:D645"/>
    <mergeCell ref="G645:H645"/>
    <mergeCell ref="I645:J645"/>
    <mergeCell ref="A654:J654"/>
    <mergeCell ref="A655:J655"/>
    <mergeCell ref="A656:J656"/>
    <mergeCell ref="A649:D649"/>
    <mergeCell ref="E649:F649"/>
    <mergeCell ref="G649:H649"/>
    <mergeCell ref="I649:J649"/>
    <mergeCell ref="A597:J597"/>
    <mergeCell ref="A598:J598"/>
    <mergeCell ref="A599:J599"/>
    <mergeCell ref="A600:J634"/>
    <mergeCell ref="A636:G636"/>
    <mergeCell ref="H636:J636"/>
    <mergeCell ref="A594:D594"/>
    <mergeCell ref="E594:F594"/>
    <mergeCell ref="G594:H594"/>
    <mergeCell ref="I594:J594"/>
    <mergeCell ref="A595:D595"/>
    <mergeCell ref="E595:F595"/>
    <mergeCell ref="G595:H595"/>
    <mergeCell ref="I595:J595"/>
    <mergeCell ref="E642:F642"/>
    <mergeCell ref="G642:H642"/>
    <mergeCell ref="I642:J642"/>
    <mergeCell ref="A643:D643"/>
    <mergeCell ref="E643:F643"/>
    <mergeCell ref="G643:H643"/>
    <mergeCell ref="I643:J643"/>
    <mergeCell ref="A638:J638"/>
    <mergeCell ref="A639:D639"/>
    <mergeCell ref="E639:J640"/>
    <mergeCell ref="A640:D640"/>
    <mergeCell ref="A641:D641"/>
    <mergeCell ref="E641:J641"/>
    <mergeCell ref="A646:D646"/>
    <mergeCell ref="A592:D592"/>
    <mergeCell ref="E592:F592"/>
    <mergeCell ref="G592:H592"/>
    <mergeCell ref="I592:J592"/>
    <mergeCell ref="A593:D593"/>
    <mergeCell ref="E593:F593"/>
    <mergeCell ref="G593:H593"/>
    <mergeCell ref="I593:J593"/>
    <mergeCell ref="A590:D590"/>
    <mergeCell ref="E590:F590"/>
    <mergeCell ref="G590:H590"/>
    <mergeCell ref="I590:J590"/>
    <mergeCell ref="A591:D591"/>
    <mergeCell ref="E591:F591"/>
    <mergeCell ref="G591:H591"/>
    <mergeCell ref="I591:J591"/>
    <mergeCell ref="A596:J596"/>
    <mergeCell ref="E584:F584"/>
    <mergeCell ref="G584:H584"/>
    <mergeCell ref="I584:J584"/>
    <mergeCell ref="A585:D585"/>
    <mergeCell ref="E585:F585"/>
    <mergeCell ref="G585:H585"/>
    <mergeCell ref="I585:J585"/>
    <mergeCell ref="A580:J580"/>
    <mergeCell ref="A581:D581"/>
    <mergeCell ref="A588:D588"/>
    <mergeCell ref="E588:F588"/>
    <mergeCell ref="G588:H588"/>
    <mergeCell ref="I588:J588"/>
    <mergeCell ref="A589:D589"/>
    <mergeCell ref="E589:F589"/>
    <mergeCell ref="G589:H589"/>
    <mergeCell ref="I589:J589"/>
    <mergeCell ref="A586:D586"/>
    <mergeCell ref="E586:F586"/>
    <mergeCell ref="G586:H586"/>
    <mergeCell ref="I586:J586"/>
    <mergeCell ref="A587:D587"/>
    <mergeCell ref="E587:F587"/>
    <mergeCell ref="G587:H587"/>
    <mergeCell ref="I587:J587"/>
    <mergeCell ref="A582:D582"/>
    <mergeCell ref="A583:D583"/>
    <mergeCell ref="E583:J583"/>
    <mergeCell ref="E581:J582"/>
    <mergeCell ref="A530:D530"/>
    <mergeCell ref="E530:F530"/>
    <mergeCell ref="G530:H530"/>
    <mergeCell ref="I530:J530"/>
    <mergeCell ref="A531:D531"/>
    <mergeCell ref="E531:F531"/>
    <mergeCell ref="G531:H531"/>
    <mergeCell ref="I531:J531"/>
    <mergeCell ref="A528:D528"/>
    <mergeCell ref="E528:F528"/>
    <mergeCell ref="A578:G578"/>
    <mergeCell ref="H578:J578"/>
    <mergeCell ref="A536:D536"/>
    <mergeCell ref="E536:F536"/>
    <mergeCell ref="G536:H536"/>
    <mergeCell ref="I536:J536"/>
    <mergeCell ref="A537:D537"/>
    <mergeCell ref="E537:F537"/>
    <mergeCell ref="G537:H537"/>
    <mergeCell ref="I537:J537"/>
    <mergeCell ref="A535:D535"/>
    <mergeCell ref="E535:F535"/>
    <mergeCell ref="G535:H535"/>
    <mergeCell ref="I535:J535"/>
    <mergeCell ref="A532:D532"/>
    <mergeCell ref="E532:F532"/>
    <mergeCell ref="G532:H532"/>
    <mergeCell ref="I532:J532"/>
    <mergeCell ref="A533:D533"/>
    <mergeCell ref="E533:F533"/>
    <mergeCell ref="G533:H533"/>
    <mergeCell ref="I533:J533"/>
    <mergeCell ref="A538:J538"/>
    <mergeCell ref="A539:J539"/>
    <mergeCell ref="A540:J540"/>
    <mergeCell ref="A541:J541"/>
    <mergeCell ref="A542:J576"/>
    <mergeCell ref="G529:H529"/>
    <mergeCell ref="I528:J528"/>
    <mergeCell ref="A529:D529"/>
    <mergeCell ref="E529:F529"/>
    <mergeCell ref="I529:J529"/>
    <mergeCell ref="A534:D534"/>
    <mergeCell ref="E534:F534"/>
    <mergeCell ref="G534:H534"/>
    <mergeCell ref="I534:J534"/>
    <mergeCell ref="A520:G520"/>
    <mergeCell ref="H520:J520"/>
    <mergeCell ref="A478:D478"/>
    <mergeCell ref="E478:F478"/>
    <mergeCell ref="G478:H478"/>
    <mergeCell ref="I478:J478"/>
    <mergeCell ref="A479:D479"/>
    <mergeCell ref="E479:F479"/>
    <mergeCell ref="G479:H479"/>
    <mergeCell ref="I479:J479"/>
    <mergeCell ref="E526:F526"/>
    <mergeCell ref="G526:H526"/>
    <mergeCell ref="I526:J526"/>
    <mergeCell ref="A527:D527"/>
    <mergeCell ref="E527:F527"/>
    <mergeCell ref="G527:H527"/>
    <mergeCell ref="I527:J527"/>
    <mergeCell ref="A522:J522"/>
    <mergeCell ref="A523:D523"/>
    <mergeCell ref="E523:J524"/>
    <mergeCell ref="A524:D524"/>
    <mergeCell ref="A525:D525"/>
    <mergeCell ref="E525:J525"/>
    <mergeCell ref="A477:D477"/>
    <mergeCell ref="E477:F477"/>
    <mergeCell ref="G477:H477"/>
    <mergeCell ref="I477:J477"/>
    <mergeCell ref="A474:D474"/>
    <mergeCell ref="E474:F474"/>
    <mergeCell ref="G474:H474"/>
    <mergeCell ref="I474:J474"/>
    <mergeCell ref="A475:D475"/>
    <mergeCell ref="E475:F475"/>
    <mergeCell ref="G475:H475"/>
    <mergeCell ref="I475:J475"/>
    <mergeCell ref="A480:J480"/>
    <mergeCell ref="A481:J481"/>
    <mergeCell ref="A482:J482"/>
    <mergeCell ref="A483:J483"/>
    <mergeCell ref="A484:J518"/>
    <mergeCell ref="A472:D472"/>
    <mergeCell ref="E472:F472"/>
    <mergeCell ref="G472:H472"/>
    <mergeCell ref="I472:J472"/>
    <mergeCell ref="A473:D473"/>
    <mergeCell ref="E473:F473"/>
    <mergeCell ref="G473:H473"/>
    <mergeCell ref="I473:J473"/>
    <mergeCell ref="A470:D470"/>
    <mergeCell ref="E470:F470"/>
    <mergeCell ref="G470:H470"/>
    <mergeCell ref="I470:J470"/>
    <mergeCell ref="A471:D471"/>
    <mergeCell ref="E471:F471"/>
    <mergeCell ref="G471:H471"/>
    <mergeCell ref="I471:J471"/>
    <mergeCell ref="A476:D476"/>
    <mergeCell ref="E476:F476"/>
    <mergeCell ref="G476:H476"/>
    <mergeCell ref="I476:J476"/>
    <mergeCell ref="A462:G462"/>
    <mergeCell ref="H462:J462"/>
    <mergeCell ref="A420:D420"/>
    <mergeCell ref="E420:F420"/>
    <mergeCell ref="G420:H420"/>
    <mergeCell ref="I420:J420"/>
    <mergeCell ref="A421:D421"/>
    <mergeCell ref="E421:F421"/>
    <mergeCell ref="G421:H421"/>
    <mergeCell ref="I421:J421"/>
    <mergeCell ref="E468:F468"/>
    <mergeCell ref="G468:H468"/>
    <mergeCell ref="I468:J468"/>
    <mergeCell ref="A469:D469"/>
    <mergeCell ref="E469:F469"/>
    <mergeCell ref="G469:H469"/>
    <mergeCell ref="I469:J469"/>
    <mergeCell ref="A464:J464"/>
    <mergeCell ref="A465:D465"/>
    <mergeCell ref="A466:D466"/>
    <mergeCell ref="A467:D467"/>
    <mergeCell ref="E467:J467"/>
    <mergeCell ref="E465:J466"/>
    <mergeCell ref="A419:D419"/>
    <mergeCell ref="E419:F419"/>
    <mergeCell ref="G419:H419"/>
    <mergeCell ref="I419:J419"/>
    <mergeCell ref="A416:D416"/>
    <mergeCell ref="E416:F416"/>
    <mergeCell ref="G416:H416"/>
    <mergeCell ref="I416:J416"/>
    <mergeCell ref="A417:D417"/>
    <mergeCell ref="E417:F417"/>
    <mergeCell ref="G417:H417"/>
    <mergeCell ref="I417:J417"/>
    <mergeCell ref="A422:J422"/>
    <mergeCell ref="A423:J423"/>
    <mergeCell ref="A424:J424"/>
    <mergeCell ref="A425:J425"/>
    <mergeCell ref="A426:J460"/>
    <mergeCell ref="A414:D414"/>
    <mergeCell ref="E414:F414"/>
    <mergeCell ref="G414:H414"/>
    <mergeCell ref="I414:J414"/>
    <mergeCell ref="A415:D415"/>
    <mergeCell ref="E415:F415"/>
    <mergeCell ref="G415:H415"/>
    <mergeCell ref="I415:J415"/>
    <mergeCell ref="A412:D412"/>
    <mergeCell ref="E412:F412"/>
    <mergeCell ref="G412:H412"/>
    <mergeCell ref="I412:J412"/>
    <mergeCell ref="A413:D413"/>
    <mergeCell ref="E413:F413"/>
    <mergeCell ref="G413:H413"/>
    <mergeCell ref="I413:J413"/>
    <mergeCell ref="A418:D418"/>
    <mergeCell ref="E418:F418"/>
    <mergeCell ref="G418:H418"/>
    <mergeCell ref="I418:J418"/>
    <mergeCell ref="A404:G404"/>
    <mergeCell ref="H404:J404"/>
    <mergeCell ref="A362:D362"/>
    <mergeCell ref="E362:F362"/>
    <mergeCell ref="G362:H362"/>
    <mergeCell ref="I362:J362"/>
    <mergeCell ref="A363:D363"/>
    <mergeCell ref="E363:F363"/>
    <mergeCell ref="G363:H363"/>
    <mergeCell ref="I363:J363"/>
    <mergeCell ref="E410:F410"/>
    <mergeCell ref="G410:H410"/>
    <mergeCell ref="I410:J410"/>
    <mergeCell ref="A411:D411"/>
    <mergeCell ref="E411:F411"/>
    <mergeCell ref="G411:H411"/>
    <mergeCell ref="I411:J411"/>
    <mergeCell ref="A406:J406"/>
    <mergeCell ref="A407:D407"/>
    <mergeCell ref="E407:J408"/>
    <mergeCell ref="A408:D408"/>
    <mergeCell ref="A409:D409"/>
    <mergeCell ref="E409:J409"/>
    <mergeCell ref="A361:D361"/>
    <mergeCell ref="E361:F361"/>
    <mergeCell ref="G361:H361"/>
    <mergeCell ref="I361:J361"/>
    <mergeCell ref="A358:D358"/>
    <mergeCell ref="E358:F358"/>
    <mergeCell ref="G358:H358"/>
    <mergeCell ref="I358:J358"/>
    <mergeCell ref="A359:D359"/>
    <mergeCell ref="E359:F359"/>
    <mergeCell ref="G359:H359"/>
    <mergeCell ref="I359:J359"/>
    <mergeCell ref="A364:J364"/>
    <mergeCell ref="A365:J365"/>
    <mergeCell ref="A366:J366"/>
    <mergeCell ref="A367:J367"/>
    <mergeCell ref="A368:J402"/>
    <mergeCell ref="A356:D356"/>
    <mergeCell ref="E356:F356"/>
    <mergeCell ref="G356:H356"/>
    <mergeCell ref="I356:J356"/>
    <mergeCell ref="A357:D357"/>
    <mergeCell ref="E357:F357"/>
    <mergeCell ref="G357:H357"/>
    <mergeCell ref="I357:J357"/>
    <mergeCell ref="A354:D354"/>
    <mergeCell ref="E354:F354"/>
    <mergeCell ref="G354:H354"/>
    <mergeCell ref="I354:J354"/>
    <mergeCell ref="A355:D355"/>
    <mergeCell ref="E355:F355"/>
    <mergeCell ref="G355:H355"/>
    <mergeCell ref="I355:J355"/>
    <mergeCell ref="A360:D360"/>
    <mergeCell ref="E360:F360"/>
    <mergeCell ref="G360:H360"/>
    <mergeCell ref="I360:J360"/>
    <mergeCell ref="A346:G346"/>
    <mergeCell ref="H346:J346"/>
    <mergeCell ref="A304:D304"/>
    <mergeCell ref="E304:F304"/>
    <mergeCell ref="G304:H304"/>
    <mergeCell ref="I304:J304"/>
    <mergeCell ref="A305:D305"/>
    <mergeCell ref="E305:F305"/>
    <mergeCell ref="G305:H305"/>
    <mergeCell ref="I305:J305"/>
    <mergeCell ref="E352:F352"/>
    <mergeCell ref="G352:H352"/>
    <mergeCell ref="I352:J352"/>
    <mergeCell ref="A353:D353"/>
    <mergeCell ref="E353:F353"/>
    <mergeCell ref="G353:H353"/>
    <mergeCell ref="I353:J353"/>
    <mergeCell ref="A348:J348"/>
    <mergeCell ref="A349:D349"/>
    <mergeCell ref="E349:J350"/>
    <mergeCell ref="A350:D350"/>
    <mergeCell ref="A351:D351"/>
    <mergeCell ref="E351:J351"/>
    <mergeCell ref="A303:D303"/>
    <mergeCell ref="E303:F303"/>
    <mergeCell ref="G303:H303"/>
    <mergeCell ref="I303:J303"/>
    <mergeCell ref="A300:D300"/>
    <mergeCell ref="E300:F300"/>
    <mergeCell ref="G300:H300"/>
    <mergeCell ref="I300:J300"/>
    <mergeCell ref="A301:D301"/>
    <mergeCell ref="E301:F301"/>
    <mergeCell ref="G301:H301"/>
    <mergeCell ref="I301:J301"/>
    <mergeCell ref="A306:J306"/>
    <mergeCell ref="A307:J307"/>
    <mergeCell ref="A308:J308"/>
    <mergeCell ref="A309:J309"/>
    <mergeCell ref="A310:J344"/>
    <mergeCell ref="A298:D298"/>
    <mergeCell ref="E298:F298"/>
    <mergeCell ref="G298:H298"/>
    <mergeCell ref="I298:J298"/>
    <mergeCell ref="A299:D299"/>
    <mergeCell ref="E299:F299"/>
    <mergeCell ref="G299:H299"/>
    <mergeCell ref="I299:J299"/>
    <mergeCell ref="A296:D296"/>
    <mergeCell ref="E296:F296"/>
    <mergeCell ref="G296:H296"/>
    <mergeCell ref="I296:J296"/>
    <mergeCell ref="A297:D297"/>
    <mergeCell ref="E297:F297"/>
    <mergeCell ref="G297:H297"/>
    <mergeCell ref="I297:J297"/>
    <mergeCell ref="A302:D302"/>
    <mergeCell ref="E302:F302"/>
    <mergeCell ref="G302:H302"/>
    <mergeCell ref="I302:J302"/>
    <mergeCell ref="A288:G288"/>
    <mergeCell ref="H288:J288"/>
    <mergeCell ref="A246:D246"/>
    <mergeCell ref="E246:F246"/>
    <mergeCell ref="G246:H246"/>
    <mergeCell ref="I246:J246"/>
    <mergeCell ref="A247:D247"/>
    <mergeCell ref="E247:F247"/>
    <mergeCell ref="G247:H247"/>
    <mergeCell ref="I247:J247"/>
    <mergeCell ref="E294:F294"/>
    <mergeCell ref="G294:H294"/>
    <mergeCell ref="I294:J294"/>
    <mergeCell ref="A295:D295"/>
    <mergeCell ref="E295:F295"/>
    <mergeCell ref="G295:H295"/>
    <mergeCell ref="I295:J295"/>
    <mergeCell ref="A290:J290"/>
    <mergeCell ref="A291:D291"/>
    <mergeCell ref="E291:J292"/>
    <mergeCell ref="A292:D292"/>
    <mergeCell ref="A293:D293"/>
    <mergeCell ref="E293:J293"/>
    <mergeCell ref="A245:D245"/>
    <mergeCell ref="E245:F245"/>
    <mergeCell ref="G245:H245"/>
    <mergeCell ref="I245:J245"/>
    <mergeCell ref="A242:D242"/>
    <mergeCell ref="E242:F242"/>
    <mergeCell ref="G242:H242"/>
    <mergeCell ref="I242:J242"/>
    <mergeCell ref="A243:D243"/>
    <mergeCell ref="E243:F243"/>
    <mergeCell ref="G243:H243"/>
    <mergeCell ref="I243:J243"/>
    <mergeCell ref="A248:J248"/>
    <mergeCell ref="A249:J249"/>
    <mergeCell ref="A250:J250"/>
    <mergeCell ref="A251:J251"/>
    <mergeCell ref="A252:J285"/>
    <mergeCell ref="A240:D240"/>
    <mergeCell ref="E240:F240"/>
    <mergeCell ref="G240:H240"/>
    <mergeCell ref="I240:J240"/>
    <mergeCell ref="A241:D241"/>
    <mergeCell ref="E241:F241"/>
    <mergeCell ref="G241:H241"/>
    <mergeCell ref="I241:J241"/>
    <mergeCell ref="A238:D238"/>
    <mergeCell ref="E238:F238"/>
    <mergeCell ref="G238:H238"/>
    <mergeCell ref="I238:J238"/>
    <mergeCell ref="A239:D239"/>
    <mergeCell ref="E239:F239"/>
    <mergeCell ref="G239:H239"/>
    <mergeCell ref="I239:J239"/>
    <mergeCell ref="A244:D244"/>
    <mergeCell ref="E244:F244"/>
    <mergeCell ref="G244:H244"/>
    <mergeCell ref="I244:J244"/>
    <mergeCell ref="A195:J195"/>
    <mergeCell ref="A196:J196"/>
    <mergeCell ref="A197:J197"/>
    <mergeCell ref="A198:J198"/>
    <mergeCell ref="A193:D193"/>
    <mergeCell ref="E193:F193"/>
    <mergeCell ref="G193:H193"/>
    <mergeCell ref="I193:J193"/>
    <mergeCell ref="A194:D194"/>
    <mergeCell ref="E194:F194"/>
    <mergeCell ref="G194:H194"/>
    <mergeCell ref="I194:J194"/>
    <mergeCell ref="E236:F236"/>
    <mergeCell ref="G236:H236"/>
    <mergeCell ref="I236:J236"/>
    <mergeCell ref="A237:D237"/>
    <mergeCell ref="E237:F237"/>
    <mergeCell ref="G237:H237"/>
    <mergeCell ref="I237:J237"/>
    <mergeCell ref="A232:J232"/>
    <mergeCell ref="A233:D233"/>
    <mergeCell ref="E233:J234"/>
    <mergeCell ref="A234:D234"/>
    <mergeCell ref="A235:D235"/>
    <mergeCell ref="E235:J235"/>
    <mergeCell ref="A188:D188"/>
    <mergeCell ref="E188:F188"/>
    <mergeCell ref="G188:H188"/>
    <mergeCell ref="I188:J188"/>
    <mergeCell ref="A185:D185"/>
    <mergeCell ref="E185:F185"/>
    <mergeCell ref="G185:H185"/>
    <mergeCell ref="I185:J185"/>
    <mergeCell ref="A186:D186"/>
    <mergeCell ref="E186:F186"/>
    <mergeCell ref="G186:H186"/>
    <mergeCell ref="I186:J186"/>
    <mergeCell ref="A191:D191"/>
    <mergeCell ref="E191:F191"/>
    <mergeCell ref="G191:H191"/>
    <mergeCell ref="I191:J191"/>
    <mergeCell ref="A192:D192"/>
    <mergeCell ref="E192:F192"/>
    <mergeCell ref="G192:H192"/>
    <mergeCell ref="I192:J192"/>
    <mergeCell ref="A189:D189"/>
    <mergeCell ref="E189:F189"/>
    <mergeCell ref="G189:H189"/>
    <mergeCell ref="I189:J189"/>
    <mergeCell ref="A190:D190"/>
    <mergeCell ref="E190:F190"/>
    <mergeCell ref="G190:H190"/>
    <mergeCell ref="I190:J190"/>
    <mergeCell ref="E183:F183"/>
    <mergeCell ref="G183:H183"/>
    <mergeCell ref="I183:J183"/>
    <mergeCell ref="A184:D184"/>
    <mergeCell ref="E184:F184"/>
    <mergeCell ref="G184:H184"/>
    <mergeCell ref="I184:J184"/>
    <mergeCell ref="A179:J179"/>
    <mergeCell ref="A180:D180"/>
    <mergeCell ref="E180:J181"/>
    <mergeCell ref="A181:D181"/>
    <mergeCell ref="A182:D182"/>
    <mergeCell ref="E182:J182"/>
    <mergeCell ref="A187:D187"/>
    <mergeCell ref="E187:F187"/>
    <mergeCell ref="G187:H187"/>
    <mergeCell ref="I187:J187"/>
    <mergeCell ref="A140:D140"/>
    <mergeCell ref="E140:F140"/>
    <mergeCell ref="G140:H140"/>
    <mergeCell ref="I140:J140"/>
    <mergeCell ref="A137:D137"/>
    <mergeCell ref="E137:F137"/>
    <mergeCell ref="G137:H137"/>
    <mergeCell ref="I137:J137"/>
    <mergeCell ref="A138:D138"/>
    <mergeCell ref="E138:F138"/>
    <mergeCell ref="G138:H138"/>
    <mergeCell ref="I138:J138"/>
    <mergeCell ref="A143:J143"/>
    <mergeCell ref="A144:J144"/>
    <mergeCell ref="A145:J145"/>
    <mergeCell ref="A146:J146"/>
    <mergeCell ref="A141:D141"/>
    <mergeCell ref="E141:F141"/>
    <mergeCell ref="G141:H141"/>
    <mergeCell ref="I141:J141"/>
    <mergeCell ref="A142:D142"/>
    <mergeCell ref="E142:F142"/>
    <mergeCell ref="G142:H142"/>
    <mergeCell ref="I142:J142"/>
    <mergeCell ref="A135:D135"/>
    <mergeCell ref="E135:F135"/>
    <mergeCell ref="G135:H135"/>
    <mergeCell ref="I135:J135"/>
    <mergeCell ref="A136:D136"/>
    <mergeCell ref="E136:F136"/>
    <mergeCell ref="G136:H136"/>
    <mergeCell ref="I136:J136"/>
    <mergeCell ref="A133:D133"/>
    <mergeCell ref="E133:F133"/>
    <mergeCell ref="G133:H133"/>
    <mergeCell ref="I133:J133"/>
    <mergeCell ref="A134:D134"/>
    <mergeCell ref="E134:F134"/>
    <mergeCell ref="G134:H134"/>
    <mergeCell ref="I134:J134"/>
    <mergeCell ref="A139:D139"/>
    <mergeCell ref="E139:F139"/>
    <mergeCell ref="G139:H139"/>
    <mergeCell ref="I139:J139"/>
    <mergeCell ref="A128:D128"/>
    <mergeCell ref="E128:J129"/>
    <mergeCell ref="A129:D129"/>
    <mergeCell ref="B81:I84"/>
    <mergeCell ref="B86:I88"/>
    <mergeCell ref="B90:I91"/>
    <mergeCell ref="A94:J101"/>
    <mergeCell ref="A103:J105"/>
    <mergeCell ref="A107:K107"/>
    <mergeCell ref="A130:D130"/>
    <mergeCell ref="E130:J130"/>
    <mergeCell ref="E131:F131"/>
    <mergeCell ref="G131:H131"/>
    <mergeCell ref="I131:J131"/>
    <mergeCell ref="A132:D132"/>
    <mergeCell ref="E132:F132"/>
    <mergeCell ref="G132:H132"/>
    <mergeCell ref="I132:J132"/>
    <mergeCell ref="A1043:J1043"/>
    <mergeCell ref="A1044:D1044"/>
    <mergeCell ref="A1045:D1045"/>
    <mergeCell ref="A1046:D1046"/>
    <mergeCell ref="E931:J931"/>
    <mergeCell ref="E1047:F1047"/>
    <mergeCell ref="G1047:H1047"/>
    <mergeCell ref="I1047:J1047"/>
    <mergeCell ref="A1:G1"/>
    <mergeCell ref="H1:J1"/>
    <mergeCell ref="A3:J7"/>
    <mergeCell ref="A9:J11"/>
    <mergeCell ref="A13:J13"/>
    <mergeCell ref="C14:E14"/>
    <mergeCell ref="H14:J14"/>
    <mergeCell ref="A147:J178"/>
    <mergeCell ref="A199:J231"/>
    <mergeCell ref="I64:J64"/>
    <mergeCell ref="A65:G65"/>
    <mergeCell ref="H65:J65"/>
    <mergeCell ref="B67:I69"/>
    <mergeCell ref="B71:I75"/>
    <mergeCell ref="B77:I79"/>
    <mergeCell ref="C20:E20"/>
    <mergeCell ref="H20:J20"/>
    <mergeCell ref="C41:E41"/>
    <mergeCell ref="H41:J41"/>
    <mergeCell ref="A47:J56"/>
    <mergeCell ref="A57:K58"/>
    <mergeCell ref="A125:G125"/>
    <mergeCell ref="H125:J125"/>
    <mergeCell ref="A127:J127"/>
    <mergeCell ref="A1051:D1051"/>
    <mergeCell ref="E1051:F1051"/>
    <mergeCell ref="G1051:H1051"/>
    <mergeCell ref="I1051:J1051"/>
    <mergeCell ref="A1052:D1052"/>
    <mergeCell ref="E1052:F1052"/>
    <mergeCell ref="G1052:H1052"/>
    <mergeCell ref="I1052:J1052"/>
    <mergeCell ref="A1053:D1053"/>
    <mergeCell ref="E1053:F1053"/>
    <mergeCell ref="G1053:H1053"/>
    <mergeCell ref="I1053:J1053"/>
    <mergeCell ref="A1048:D1048"/>
    <mergeCell ref="E1048:F1048"/>
    <mergeCell ref="G1048:H1048"/>
    <mergeCell ref="I1048:J1048"/>
    <mergeCell ref="A1049:D1049"/>
    <mergeCell ref="E1049:F1049"/>
    <mergeCell ref="G1049:H1049"/>
    <mergeCell ref="I1049:J1049"/>
    <mergeCell ref="A1050:D1050"/>
    <mergeCell ref="E1050:F1050"/>
    <mergeCell ref="G1050:H1050"/>
    <mergeCell ref="I1050:J1050"/>
    <mergeCell ref="A1060:J1060"/>
    <mergeCell ref="A1061:J1061"/>
    <mergeCell ref="A1062:J1062"/>
    <mergeCell ref="A1063:J1097"/>
    <mergeCell ref="A1057:D1057"/>
    <mergeCell ref="E1057:F1057"/>
    <mergeCell ref="G1057:H1057"/>
    <mergeCell ref="I1057:J1057"/>
    <mergeCell ref="A1058:D1058"/>
    <mergeCell ref="E1058:F1058"/>
    <mergeCell ref="G1058:H1058"/>
    <mergeCell ref="I1058:J1058"/>
    <mergeCell ref="A1059:J1059"/>
    <mergeCell ref="A1054:D1054"/>
    <mergeCell ref="E1054:F1054"/>
    <mergeCell ref="G1054:H1054"/>
    <mergeCell ref="I1054:J1054"/>
    <mergeCell ref="A1055:D1055"/>
    <mergeCell ref="E1055:F1055"/>
    <mergeCell ref="G1055:H1055"/>
    <mergeCell ref="I1055:J1055"/>
    <mergeCell ref="A1056:D1056"/>
    <mergeCell ref="E1056:F1056"/>
    <mergeCell ref="G1056:H1056"/>
    <mergeCell ref="I1056:J1056"/>
  </mergeCells>
  <dataValidations count="13">
    <dataValidation allowBlank="1" showInputMessage="1" showErrorMessage="1" promptTitle="INSTRUCTIONS&quot;" prompt="1)  Double click inside box to start typing._x000a_2)  DO NOT EXCEED the space provided as it will not appear when page is printed._x000a_3)  Press ALT and ENTER to start a new paragraph._x000a_4)  REVIEW work for accuracy." sqref="A658:J692" xr:uid="{9C89A4F6-69BF-4C18-9B9A-79A9873E31AA}"/>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948:J982 A1006:J1040 A252:J285 A1063:J1097 A310:J344 A368:J402 A426:J460 A484:J518 A542:J576 A600:J634 A774:J808 A832:J866 A890:J924" xr:uid="{77368C00-FB5B-4730-8F51-538CAC5EA67F}"/>
    <dataValidation allowBlank="1" showInputMessage="1" showErrorMessage="1" promptTitle="INSTRUCTIONS:" prompt="1)1)  Double click inside box to start typing._x000a_2)  DO NOT EXCEED the space provided as it will not appear when page is printed._x000a_3)  Press ALT and ENTER to start a new paragraph._x000a_4)  REVIEW work for accuracy." sqref="A716:J750" xr:uid="{F3B34356-13F6-4B48-AEF6-F98D45C4A349}"/>
    <dataValidation allowBlank="1" showInputMessage="1" showErrorMessage="1" sqref="E813:J814 E180:J181 E128:J129 E697:J698" xr:uid="{9596EE22-B57D-4F03-9542-6F91662C6C7D}"/>
    <dataValidation showInputMessage="1" showErrorMessage="1" promptTitle="Instructions" prompt="Click in the box to enter or edit your response._x000a__x000a_Press ALT and Enter to start a new paragraph" sqref="K151" xr:uid="{5A7CD921-0657-4B03-AB03-E8582AF50CD3}"/>
    <dataValidation type="list" showInputMessage="1" showErrorMessage="1" prompt="Please select from the drop down list." sqref="E182:J182 E235:J235 E351:J351 E409:J409 E931:J931 E525:J525 E583:J583 E467:J467 E641:J641 E699:J699 E757:J757 E815:J815 E293:J293 E989:J989 E873:J873" xr:uid="{B948DBD9-4BB4-41A5-975C-0B5E981F8557}">
      <formula1>Expenditures</formula1>
    </dataValidation>
    <dataValidation type="list" showInputMessage="1" showErrorMessage="1" prompt="Please select from drop down list." sqref="E130:J130" xr:uid="{BFB546F9-F358-452A-830D-EE3BA2885EE0}">
      <formula1>Expenditures</formula1>
    </dataValidation>
    <dataValidation allowBlank="1" showInputMessage="1" showErrorMessage="1" error="Total is automatically calculated." prompt=" Amount Automatically Calculated. " sqref="E142:J142 E194:J194 E247:J247 E305:J305 E363:J363 E421:J421 E479:J479 E537:J537 E595:J595 E653:J653 E711:J711 E769:J769 E827:J827 E885:J885 E943:J943 E1001:J1001 E1058:J1058" xr:uid="{C5C7A5FB-9CC1-42A6-B988-CB01DAE7E5FD}"/>
    <dataValidation type="textLength" allowBlank="1" showInputMessage="1" showErrorMessage="1" prompt="Leave Blank or Describe Other Expenditure. " sqref="A139:D141 A191:D193 A244:D246 A302:D304 A360:D362 A418:D420 A476:D478 A534:D536 A592:D594 A650:D652 A708:D710 A766:D768 A824:D826 A882:D884 A940:D942 A998:D1000 A1055:D1057" xr:uid="{8BDA7F93-CD01-4292-8DE0-3332FEEA1586}">
      <formula1>1</formula1>
      <formula2>35</formula2>
    </dataValidation>
    <dataValidation type="whole" allowBlank="1" showInputMessage="1" showErrorMessage="1" error="Leave blank or enter amount in whole dollars." sqref="G139:J141 G191:J193 G244:J246 G302:J304 G360:J362 G418:J420 G476:J478 G534:J536 G592:J594 G650:J652 G708:J710 G766:J768 G824:J826 G882:J884 G940:J942 G998:J1000 G1055:J1057" xr:uid="{46951361-5480-4631-8F30-3B615858F888}">
      <formula1>0</formula1>
      <formula2>50000000</formula2>
    </dataValidation>
    <dataValidation type="whole" allowBlank="1" showInputMessage="1" showErrorMessage="1" error="Must enter amount in whole dollars." sqref="E1048:J1053 E139:F141 E1055:F1057 E191:F193 E244:F246 E132:J137 E302:F304 E184:J189 E360:F362 E353:J358 E418:F420 E237:J242 E476:F478 E295:J300 E534:F536 I528:J529 E592:F594 E411:J416 E650:F652 E708:F710 E528:F528 E766:F768 E824:F826 E882:F884 E940:F942 E998:F1000 E529:H529 E527:J527 E530:J532 E469:J474 E585:J590 E701:J702 E646:F648 G703:J703 G993:J994 E704:J706 E875:J880 E933:J938 E991:J992 E995:J996 E759:J764 G643:J648 E643:F644 E817:J822" xr:uid="{E0C3A014-3822-4B01-A490-5B098F69D1AF}">
      <formula1>0</formula1>
      <formula2>50000000</formula2>
    </dataValidation>
    <dataValidation allowBlank="1" showInputMessage="1" showErrorMessage="1" error="Entries not permitted in this cell." prompt="Leave cell blank." sqref="E138:J138 E190:J190 E243:J243 E301:J301 E359:J359 E417:J417 E475:J475 E533:J533 E591:J591 E649:J649 E707:J707 E765:J765 E823:J823 E881:J881 E939:J939 E997:J997 E1054:J1054" xr:uid="{AC53CDCB-B52C-442F-8701-5765057D37B0}"/>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 sqref="A147:J178 A199:J231" xr:uid="{A4EEAA97-F2A4-4F5B-80CB-77F2561628CF}"/>
  </dataValidations>
  <pageMargins left="0.7" right="0.7" top="0.75" bottom="0.75" header="0.3" footer="0.3"/>
  <pageSetup orientation="portrait" horizontalDpi="4294967293"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J32"/>
  <sheetViews>
    <sheetView zoomScaleNormal="100" workbookViewId="0">
      <pane ySplit="3" topLeftCell="A16" activePane="bottomLeft" state="frozen"/>
      <selection pane="bottomLeft" activeCell="A4" sqref="A4"/>
    </sheetView>
  </sheetViews>
  <sheetFormatPr defaultRowHeight="13.2" x14ac:dyDescent="0.25"/>
  <cols>
    <col min="1" max="1" width="6.5546875" customWidth="1"/>
    <col min="5" max="5" width="7.6640625" customWidth="1"/>
    <col min="6" max="6" width="6.5546875" customWidth="1"/>
    <col min="7" max="7" width="5.6640625" customWidth="1"/>
  </cols>
  <sheetData>
    <row r="1" spans="1:10" s="43" customFormat="1" ht="36" customHeight="1" thickTop="1" thickBot="1" x14ac:dyDescent="0.45">
      <c r="A1" s="571" t="s">
        <v>830</v>
      </c>
      <c r="B1" s="572"/>
      <c r="C1" s="572"/>
      <c r="D1" s="572"/>
      <c r="E1" s="572"/>
      <c r="F1" s="572"/>
      <c r="G1" s="572"/>
      <c r="H1" s="572"/>
      <c r="I1" s="572"/>
      <c r="J1" s="573"/>
    </row>
    <row r="2" spans="1:10" ht="13.8" thickTop="1" x14ac:dyDescent="0.25">
      <c r="A2" s="39"/>
      <c r="B2" s="39"/>
      <c r="C2" s="39"/>
      <c r="D2" s="39"/>
      <c r="E2" s="39"/>
      <c r="F2" s="39"/>
      <c r="G2" s="39"/>
      <c r="H2" s="39"/>
      <c r="I2" s="39"/>
      <c r="J2" s="39"/>
    </row>
    <row r="3" spans="1:10" ht="15.6" x14ac:dyDescent="0.3">
      <c r="A3" s="355" t="s">
        <v>843</v>
      </c>
      <c r="B3" s="356"/>
      <c r="C3" s="356"/>
      <c r="D3" s="356"/>
      <c r="E3" s="356"/>
      <c r="F3" s="356"/>
      <c r="G3" s="356"/>
      <c r="H3" s="576" t="str">
        <f>'CONTACT INFORMATION'!$A$24</f>
        <v>Alameda</v>
      </c>
      <c r="I3" s="576"/>
      <c r="J3" s="577"/>
    </row>
    <row r="4" spans="1:10" s="1" customFormat="1" ht="15.6" x14ac:dyDescent="0.3">
      <c r="A4" s="147"/>
      <c r="B4" s="147"/>
      <c r="C4" s="147"/>
      <c r="D4" s="147"/>
      <c r="E4" s="147"/>
      <c r="F4" s="147"/>
      <c r="G4" s="147"/>
      <c r="H4" s="172"/>
      <c r="I4" s="172"/>
      <c r="J4" s="172"/>
    </row>
    <row r="5" spans="1:10" ht="15.6" x14ac:dyDescent="0.3">
      <c r="A5" s="57"/>
      <c r="B5" s="57"/>
      <c r="C5" s="57"/>
      <c r="D5" s="57"/>
      <c r="E5" s="57"/>
      <c r="F5" s="57"/>
      <c r="G5" s="57"/>
      <c r="H5" s="57"/>
      <c r="I5" s="57"/>
      <c r="J5" s="57"/>
    </row>
    <row r="6" spans="1:10" ht="74.099999999999994" customHeight="1" x14ac:dyDescent="0.25">
      <c r="A6" s="574" t="s">
        <v>876</v>
      </c>
      <c r="B6" s="575"/>
      <c r="C6" s="575"/>
      <c r="D6" s="575"/>
      <c r="E6" s="575"/>
      <c r="F6" s="575"/>
      <c r="G6" s="575"/>
      <c r="H6" s="575"/>
      <c r="I6" s="575"/>
      <c r="J6" s="575"/>
    </row>
    <row r="7" spans="1:10" x14ac:dyDescent="0.25">
      <c r="A7" s="39"/>
      <c r="B7" s="39"/>
      <c r="C7" s="39"/>
      <c r="D7" s="39"/>
      <c r="E7" s="39"/>
      <c r="F7" s="39"/>
      <c r="G7" s="39"/>
      <c r="H7" s="39"/>
      <c r="I7" s="39"/>
      <c r="J7" s="39"/>
    </row>
    <row r="8" spans="1:10" x14ac:dyDescent="0.25">
      <c r="A8" s="39"/>
      <c r="B8" s="39"/>
      <c r="C8" s="39"/>
      <c r="D8" s="39"/>
      <c r="E8" s="39"/>
      <c r="F8" s="39"/>
      <c r="G8" s="39"/>
      <c r="H8" s="39"/>
      <c r="I8" s="39"/>
      <c r="J8" s="39"/>
    </row>
    <row r="9" spans="1:10" ht="22.5" customHeight="1" x14ac:dyDescent="0.25">
      <c r="A9" s="564" t="s">
        <v>829</v>
      </c>
      <c r="B9" s="564"/>
      <c r="C9" s="565"/>
      <c r="D9" s="129" t="s">
        <v>827</v>
      </c>
      <c r="E9" s="39"/>
      <c r="F9" s="39"/>
      <c r="G9" s="564" t="s">
        <v>816</v>
      </c>
      <c r="H9" s="564"/>
      <c r="I9" s="565"/>
      <c r="J9" s="129" t="s">
        <v>827</v>
      </c>
    </row>
    <row r="10" spans="1:10" ht="13.8" x14ac:dyDescent="0.25">
      <c r="A10" s="567" t="s">
        <v>847</v>
      </c>
      <c r="B10" s="567"/>
      <c r="C10" s="570"/>
      <c r="D10" s="173">
        <f>'REPORT 1'!$I$16</f>
        <v>951</v>
      </c>
      <c r="E10" s="130"/>
      <c r="F10" s="39"/>
      <c r="G10" s="567" t="s">
        <v>847</v>
      </c>
      <c r="H10" s="567"/>
      <c r="I10" s="570"/>
      <c r="J10" s="174">
        <f>'REPORT 1'!$I$27</f>
        <v>951</v>
      </c>
    </row>
    <row r="11" spans="1:10" x14ac:dyDescent="0.25">
      <c r="A11" s="39"/>
      <c r="B11" s="39"/>
      <c r="C11" s="39"/>
      <c r="D11" s="39"/>
      <c r="E11" s="39"/>
      <c r="F11" s="39"/>
      <c r="G11" s="39"/>
      <c r="H11" s="39"/>
      <c r="I11" s="39"/>
      <c r="J11" s="39"/>
    </row>
    <row r="12" spans="1:10" ht="15.6" x14ac:dyDescent="0.3">
      <c r="A12" s="57"/>
      <c r="B12" s="57"/>
      <c r="C12" s="57"/>
      <c r="D12" s="57"/>
      <c r="E12" s="57"/>
      <c r="F12" s="57"/>
      <c r="G12" s="57"/>
      <c r="H12" s="57"/>
      <c r="I12" s="57"/>
      <c r="J12" s="57"/>
    </row>
    <row r="13" spans="1:10" ht="74.099999999999994" customHeight="1" x14ac:dyDescent="0.25">
      <c r="A13" s="574" t="s">
        <v>875</v>
      </c>
      <c r="B13" s="575"/>
      <c r="C13" s="575"/>
      <c r="D13" s="575"/>
      <c r="E13" s="575"/>
      <c r="F13" s="575"/>
      <c r="G13" s="575"/>
      <c r="H13" s="575"/>
      <c r="I13" s="575"/>
      <c r="J13" s="575"/>
    </row>
    <row r="14" spans="1:10" x14ac:dyDescent="0.25">
      <c r="A14" s="39"/>
      <c r="B14" s="39"/>
      <c r="C14" s="39"/>
      <c r="D14" s="39"/>
      <c r="E14" s="39"/>
      <c r="F14" s="39"/>
      <c r="G14" s="39"/>
      <c r="H14" s="39"/>
      <c r="I14" s="39"/>
      <c r="J14" s="39"/>
    </row>
    <row r="15" spans="1:10" x14ac:dyDescent="0.25">
      <c r="A15" s="39"/>
      <c r="B15" s="39"/>
      <c r="C15" s="39"/>
      <c r="D15" s="39"/>
      <c r="E15" s="39"/>
      <c r="F15" s="39"/>
      <c r="G15" s="39"/>
      <c r="H15" s="39"/>
      <c r="I15" s="39"/>
      <c r="J15" s="39"/>
    </row>
    <row r="16" spans="1:10" ht="22.5" customHeight="1" x14ac:dyDescent="0.25">
      <c r="A16" s="564" t="s">
        <v>824</v>
      </c>
      <c r="B16" s="564"/>
      <c r="C16" s="565"/>
      <c r="D16" s="129" t="s">
        <v>827</v>
      </c>
      <c r="E16" s="39"/>
      <c r="F16" s="39"/>
      <c r="G16" s="564" t="s">
        <v>829</v>
      </c>
      <c r="H16" s="564"/>
      <c r="I16" s="565"/>
      <c r="J16" s="129" t="s">
        <v>827</v>
      </c>
    </row>
    <row r="17" spans="1:10" ht="13.8" x14ac:dyDescent="0.25">
      <c r="D17" s="173">
        <f>'REPORT 3'!$J$9</f>
        <v>438</v>
      </c>
      <c r="E17" s="39"/>
      <c r="F17" s="39"/>
      <c r="G17" s="562" t="s">
        <v>847</v>
      </c>
      <c r="H17" s="562"/>
      <c r="I17" s="563"/>
      <c r="J17" s="173">
        <f>'REPORT 3'!$J$34</f>
        <v>438</v>
      </c>
    </row>
    <row r="18" spans="1:10" ht="13.8" x14ac:dyDescent="0.25">
      <c r="A18" s="109"/>
      <c r="B18" s="109"/>
      <c r="C18" s="109"/>
      <c r="D18" s="39"/>
      <c r="E18" s="39"/>
      <c r="F18" s="39"/>
      <c r="G18" s="39"/>
      <c r="H18" s="39"/>
      <c r="I18" s="39"/>
      <c r="J18" s="39"/>
    </row>
    <row r="19" spans="1:10" ht="13.8" x14ac:dyDescent="0.25">
      <c r="A19" s="109"/>
      <c r="B19" s="109"/>
      <c r="C19" s="109"/>
      <c r="D19" s="39"/>
      <c r="E19" s="39"/>
      <c r="F19" s="39"/>
      <c r="G19" s="39"/>
      <c r="H19" s="39"/>
      <c r="I19" s="39"/>
      <c r="J19" s="39"/>
    </row>
    <row r="20" spans="1:10" ht="22.5" customHeight="1" x14ac:dyDescent="0.25">
      <c r="A20" s="564" t="s">
        <v>826</v>
      </c>
      <c r="B20" s="564"/>
      <c r="C20" s="565"/>
      <c r="D20" s="129" t="s">
        <v>827</v>
      </c>
      <c r="E20" s="39"/>
      <c r="F20" s="39"/>
      <c r="G20" s="564" t="s">
        <v>816</v>
      </c>
      <c r="H20" s="564"/>
      <c r="I20" s="565"/>
      <c r="J20" s="129" t="s">
        <v>827</v>
      </c>
    </row>
    <row r="21" spans="1:10" ht="13.8" x14ac:dyDescent="0.25">
      <c r="A21" s="567"/>
      <c r="B21" s="567"/>
      <c r="C21" s="570"/>
      <c r="D21" s="173">
        <f>'REPORT 3'!$J$26</f>
        <v>337</v>
      </c>
      <c r="E21" s="39"/>
      <c r="F21" s="39"/>
      <c r="G21" s="562" t="s">
        <v>847</v>
      </c>
      <c r="H21" s="562"/>
      <c r="I21" s="563"/>
      <c r="J21" s="173">
        <f>'REPORT 3'!$J$44</f>
        <v>438</v>
      </c>
    </row>
    <row r="22" spans="1:10" ht="13.8" x14ac:dyDescent="0.25">
      <c r="A22" s="110"/>
      <c r="B22" s="110"/>
      <c r="C22" s="110"/>
    </row>
    <row r="24" spans="1:10" ht="70.5" customHeight="1" x14ac:dyDescent="0.25">
      <c r="A24" s="568" t="s">
        <v>877</v>
      </c>
      <c r="B24" s="569"/>
      <c r="C24" s="569"/>
      <c r="D24" s="569"/>
      <c r="E24" s="569"/>
      <c r="F24" s="569"/>
      <c r="G24" s="569"/>
      <c r="H24" s="569"/>
      <c r="I24" s="569"/>
      <c r="J24" s="569"/>
    </row>
    <row r="27" spans="1:10" ht="22.5" customHeight="1" x14ac:dyDescent="0.25">
      <c r="A27" s="566" t="s">
        <v>870</v>
      </c>
      <c r="B27" s="567"/>
      <c r="C27" s="567"/>
      <c r="D27" s="171" t="s">
        <v>827</v>
      </c>
      <c r="G27" s="564" t="s">
        <v>829</v>
      </c>
      <c r="H27" s="564"/>
      <c r="I27" s="565"/>
      <c r="J27" s="171" t="s">
        <v>827</v>
      </c>
    </row>
    <row r="28" spans="1:10" ht="15" customHeight="1" x14ac:dyDescent="0.25">
      <c r="D28" s="175">
        <f>'ARREST REPORT'!$G$12</f>
        <v>892</v>
      </c>
      <c r="G28" s="562" t="s">
        <v>847</v>
      </c>
      <c r="H28" s="562"/>
      <c r="I28" s="563"/>
      <c r="J28" s="175">
        <f>'ARREST REPORT'!$G$18</f>
        <v>892</v>
      </c>
    </row>
    <row r="31" spans="1:10" ht="13.8" x14ac:dyDescent="0.25">
      <c r="G31" s="564" t="s">
        <v>816</v>
      </c>
      <c r="H31" s="564"/>
      <c r="I31" s="565"/>
      <c r="J31" s="171" t="s">
        <v>827</v>
      </c>
    </row>
    <row r="32" spans="1:10" s="1" customFormat="1" ht="13.8" x14ac:dyDescent="0.25">
      <c r="G32" s="562" t="s">
        <v>847</v>
      </c>
      <c r="H32" s="562"/>
      <c r="I32" s="563"/>
      <c r="J32" s="175">
        <f>'ARREST REPORT'!$G$26</f>
        <v>892</v>
      </c>
    </row>
  </sheetData>
  <sheetProtection selectLockedCells="1"/>
  <mergeCells count="22">
    <mergeCell ref="A1:J1"/>
    <mergeCell ref="A13:J13"/>
    <mergeCell ref="A6:J6"/>
    <mergeCell ref="A9:C9"/>
    <mergeCell ref="A10:C10"/>
    <mergeCell ref="G9:I9"/>
    <mergeCell ref="G10:I10"/>
    <mergeCell ref="A3:G3"/>
    <mergeCell ref="H3:J3"/>
    <mergeCell ref="G32:I32"/>
    <mergeCell ref="A16:C16"/>
    <mergeCell ref="A27:C27"/>
    <mergeCell ref="G27:I27"/>
    <mergeCell ref="G28:I28"/>
    <mergeCell ref="G31:I31"/>
    <mergeCell ref="A20:C20"/>
    <mergeCell ref="A24:J24"/>
    <mergeCell ref="G21:I21"/>
    <mergeCell ref="A21:C21"/>
    <mergeCell ref="G16:I16"/>
    <mergeCell ref="G17:I17"/>
    <mergeCell ref="G20:I20"/>
  </mergeCells>
  <printOptions horizontalCentered="1"/>
  <pageMargins left="0.45" right="0.45" top="0.45" bottom="0.45" header="0.3" footer="0.3"/>
  <pageSetup orientation="portrait" r:id="rId1"/>
  <headerFooter>
    <oddFooter>&amp;L&amp;7&amp;Z&amp;F
BSCC Use Only Report Totals Tab (Hidden)</oddFooter>
  </headerFooter>
  <rowBreaks count="1" manualBreakCount="1">
    <brk id="32"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A50"/>
  <sheetViews>
    <sheetView workbookViewId="0">
      <selection activeCell="H17" sqref="H17"/>
    </sheetView>
  </sheetViews>
  <sheetFormatPr defaultRowHeight="13.8" x14ac:dyDescent="0.25"/>
  <cols>
    <col min="1" max="1" width="36.109375" style="110" customWidth="1"/>
  </cols>
  <sheetData>
    <row r="1" spans="1:1" x14ac:dyDescent="0.25">
      <c r="A1" s="109" t="s">
        <v>468</v>
      </c>
    </row>
    <row r="2" spans="1:1" x14ac:dyDescent="0.25">
      <c r="A2" s="109" t="s">
        <v>469</v>
      </c>
    </row>
    <row r="3" spans="1:1" x14ac:dyDescent="0.25">
      <c r="A3" s="109" t="s">
        <v>470</v>
      </c>
    </row>
    <row r="4" spans="1:1" x14ac:dyDescent="0.25">
      <c r="A4" s="109" t="s">
        <v>471</v>
      </c>
    </row>
    <row r="5" spans="1:1" x14ac:dyDescent="0.25">
      <c r="A5" s="109" t="s">
        <v>472</v>
      </c>
    </row>
    <row r="6" spans="1:1" x14ac:dyDescent="0.25">
      <c r="A6" s="109" t="s">
        <v>473</v>
      </c>
    </row>
    <row r="7" spans="1:1" x14ac:dyDescent="0.25">
      <c r="A7" s="109" t="s">
        <v>474</v>
      </c>
    </row>
    <row r="8" spans="1:1" x14ac:dyDescent="0.25">
      <c r="A8" s="109" t="s">
        <v>536</v>
      </c>
    </row>
    <row r="9" spans="1:1" x14ac:dyDescent="0.25">
      <c r="A9" s="109" t="s">
        <v>475</v>
      </c>
    </row>
    <row r="10" spans="1:1" x14ac:dyDescent="0.25">
      <c r="A10" s="109" t="s">
        <v>476</v>
      </c>
    </row>
    <row r="11" spans="1:1" x14ac:dyDescent="0.25">
      <c r="A11" s="109" t="s">
        <v>477</v>
      </c>
    </row>
    <row r="12" spans="1:1" x14ac:dyDescent="0.25">
      <c r="A12" s="109" t="s">
        <v>478</v>
      </c>
    </row>
    <row r="13" spans="1:1" x14ac:dyDescent="0.25">
      <c r="A13" s="109" t="s">
        <v>479</v>
      </c>
    </row>
    <row r="14" spans="1:1" x14ac:dyDescent="0.25">
      <c r="A14" s="109" t="s">
        <v>480</v>
      </c>
    </row>
    <row r="15" spans="1:1" x14ac:dyDescent="0.25">
      <c r="A15" s="109" t="s">
        <v>481</v>
      </c>
    </row>
    <row r="16" spans="1:1" x14ac:dyDescent="0.25">
      <c r="A16" s="109" t="s">
        <v>482</v>
      </c>
    </row>
    <row r="17" spans="1:1" x14ac:dyDescent="0.25">
      <c r="A17" s="109" t="s">
        <v>483</v>
      </c>
    </row>
    <row r="18" spans="1:1" x14ac:dyDescent="0.25">
      <c r="A18" s="109" t="s">
        <v>484</v>
      </c>
    </row>
    <row r="19" spans="1:1" x14ac:dyDescent="0.25">
      <c r="A19" s="109" t="s">
        <v>485</v>
      </c>
    </row>
    <row r="20" spans="1:1" x14ac:dyDescent="0.25">
      <c r="A20" s="109" t="s">
        <v>486</v>
      </c>
    </row>
    <row r="21" spans="1:1" x14ac:dyDescent="0.25">
      <c r="A21" s="109" t="s">
        <v>487</v>
      </c>
    </row>
    <row r="22" spans="1:1" x14ac:dyDescent="0.25">
      <c r="A22" s="109" t="s">
        <v>488</v>
      </c>
    </row>
    <row r="23" spans="1:1" x14ac:dyDescent="0.25">
      <c r="A23" s="109" t="s">
        <v>489</v>
      </c>
    </row>
    <row r="24" spans="1:1" x14ac:dyDescent="0.25">
      <c r="A24" s="109" t="s">
        <v>490</v>
      </c>
    </row>
    <row r="25" spans="1:1" x14ac:dyDescent="0.25">
      <c r="A25" s="109" t="s">
        <v>491</v>
      </c>
    </row>
    <row r="26" spans="1:1" x14ac:dyDescent="0.25">
      <c r="A26" s="109" t="s">
        <v>492</v>
      </c>
    </row>
    <row r="27" spans="1:1" x14ac:dyDescent="0.25">
      <c r="A27" s="109" t="s">
        <v>493</v>
      </c>
    </row>
    <row r="28" spans="1:1" x14ac:dyDescent="0.25">
      <c r="A28" s="109" t="s">
        <v>494</v>
      </c>
    </row>
    <row r="29" spans="1:1" x14ac:dyDescent="0.25">
      <c r="A29" s="109" t="s">
        <v>495</v>
      </c>
    </row>
    <row r="30" spans="1:1" x14ac:dyDescent="0.25">
      <c r="A30" s="109" t="s">
        <v>496</v>
      </c>
    </row>
    <row r="31" spans="1:1" x14ac:dyDescent="0.25">
      <c r="A31" s="109" t="s">
        <v>497</v>
      </c>
    </row>
    <row r="32" spans="1:1" x14ac:dyDescent="0.25">
      <c r="A32" s="109" t="s">
        <v>498</v>
      </c>
    </row>
    <row r="33" spans="1:1" x14ac:dyDescent="0.25">
      <c r="A33" s="109" t="s">
        <v>499</v>
      </c>
    </row>
    <row r="34" spans="1:1" x14ac:dyDescent="0.25">
      <c r="A34" s="109" t="s">
        <v>326</v>
      </c>
    </row>
    <row r="35" spans="1:1" x14ac:dyDescent="0.25">
      <c r="A35" s="109" t="s">
        <v>500</v>
      </c>
    </row>
    <row r="36" spans="1:1" x14ac:dyDescent="0.25">
      <c r="A36" s="109" t="s">
        <v>501</v>
      </c>
    </row>
    <row r="37" spans="1:1" x14ac:dyDescent="0.25">
      <c r="A37" s="109" t="s">
        <v>502</v>
      </c>
    </row>
    <row r="38" spans="1:1" x14ac:dyDescent="0.25">
      <c r="A38" s="109" t="s">
        <v>503</v>
      </c>
    </row>
    <row r="39" spans="1:1" x14ac:dyDescent="0.25">
      <c r="A39" s="109" t="s">
        <v>504</v>
      </c>
    </row>
    <row r="40" spans="1:1" x14ac:dyDescent="0.25">
      <c r="A40" s="109" t="s">
        <v>516</v>
      </c>
    </row>
    <row r="41" spans="1:1" x14ac:dyDescent="0.25">
      <c r="A41" s="109" t="s">
        <v>505</v>
      </c>
    </row>
    <row r="42" spans="1:1" x14ac:dyDescent="0.25">
      <c r="A42" s="109" t="s">
        <v>506</v>
      </c>
    </row>
    <row r="43" spans="1:1" x14ac:dyDescent="0.25">
      <c r="A43" s="109" t="s">
        <v>517</v>
      </c>
    </row>
    <row r="44" spans="1:1" x14ac:dyDescent="0.25">
      <c r="A44" s="109" t="s">
        <v>507</v>
      </c>
    </row>
    <row r="45" spans="1:1" x14ac:dyDescent="0.25">
      <c r="A45" s="109" t="s">
        <v>513</v>
      </c>
    </row>
    <row r="46" spans="1:1" x14ac:dyDescent="0.25">
      <c r="A46" s="109" t="s">
        <v>508</v>
      </c>
    </row>
    <row r="47" spans="1:1" x14ac:dyDescent="0.25">
      <c r="A47" s="109" t="s">
        <v>509</v>
      </c>
    </row>
    <row r="48" spans="1:1" x14ac:dyDescent="0.25">
      <c r="A48" s="109" t="s">
        <v>510</v>
      </c>
    </row>
    <row r="49" spans="1:1" x14ac:dyDescent="0.25">
      <c r="A49" s="109" t="s">
        <v>511</v>
      </c>
    </row>
    <row r="50" spans="1:1" x14ac:dyDescent="0.25">
      <c r="A50" s="109" t="s">
        <v>835</v>
      </c>
    </row>
  </sheetData>
  <sheetProtection selectLockedCells="1" selectUnlockedCell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K56"/>
  <sheetViews>
    <sheetView workbookViewId="0">
      <selection activeCell="A56" sqref="A56:D56"/>
    </sheetView>
  </sheetViews>
  <sheetFormatPr defaultRowHeight="13.2" x14ac:dyDescent="0.25"/>
  <sheetData>
    <row r="1" spans="1:11" ht="15.6" x14ac:dyDescent="0.3">
      <c r="A1" s="584" t="s">
        <v>322</v>
      </c>
      <c r="B1" s="585"/>
      <c r="C1" s="585"/>
      <c r="D1" s="585"/>
      <c r="E1" s="585"/>
      <c r="F1" s="585"/>
      <c r="G1" s="585"/>
      <c r="H1" s="585"/>
      <c r="I1" s="585"/>
      <c r="J1" s="586"/>
    </row>
    <row r="2" spans="1:11" x14ac:dyDescent="0.25">
      <c r="A2" s="587" t="s">
        <v>199</v>
      </c>
      <c r="B2" s="588"/>
      <c r="C2" s="588"/>
      <c r="D2" s="588"/>
      <c r="E2" s="588"/>
      <c r="F2" s="588"/>
      <c r="G2" s="588"/>
      <c r="H2" s="588"/>
      <c r="I2" s="588"/>
      <c r="J2" s="589"/>
    </row>
    <row r="3" spans="1:11" x14ac:dyDescent="0.25">
      <c r="A3" s="590"/>
      <c r="B3" s="591"/>
      <c r="C3" s="591"/>
      <c r="D3" s="591"/>
      <c r="E3" s="591"/>
      <c r="F3" s="591"/>
      <c r="G3" s="591"/>
      <c r="H3" s="591"/>
      <c r="I3" s="591"/>
      <c r="J3" s="592"/>
    </row>
    <row r="4" spans="1:11" x14ac:dyDescent="0.25">
      <c r="A4" s="593"/>
      <c r="B4" s="594"/>
      <c r="C4" s="594"/>
      <c r="D4" s="594"/>
      <c r="E4" s="594"/>
      <c r="F4" s="594"/>
      <c r="G4" s="594"/>
      <c r="H4" s="594"/>
      <c r="I4" s="594"/>
      <c r="J4" s="595"/>
    </row>
    <row r="5" spans="1:11" x14ac:dyDescent="0.25">
      <c r="A5" s="6"/>
      <c r="B5" s="7"/>
      <c r="C5" s="7"/>
      <c r="D5" s="7"/>
      <c r="E5" s="7"/>
      <c r="F5" s="7"/>
      <c r="G5" s="7"/>
      <c r="H5" s="7"/>
      <c r="I5" s="7"/>
      <c r="J5" s="8"/>
    </row>
    <row r="6" spans="1:11" x14ac:dyDescent="0.25">
      <c r="A6" s="32"/>
      <c r="B6" s="4"/>
      <c r="C6" s="4"/>
      <c r="D6" s="4"/>
      <c r="E6" s="4"/>
      <c r="F6" s="4"/>
      <c r="G6" s="4"/>
      <c r="H6" s="596" t="s">
        <v>200</v>
      </c>
      <c r="I6" s="596"/>
      <c r="J6" s="597"/>
      <c r="K6" s="3"/>
    </row>
    <row r="7" spans="1:11" x14ac:dyDescent="0.25">
      <c r="A7" s="600" t="s">
        <v>201</v>
      </c>
      <c r="B7" s="601"/>
      <c r="C7" s="601"/>
      <c r="D7" s="601"/>
      <c r="E7" s="601"/>
      <c r="F7" s="601"/>
      <c r="G7" s="601"/>
      <c r="H7" s="598"/>
      <c r="I7" s="598"/>
      <c r="J7" s="599"/>
    </row>
    <row r="8" spans="1:11" x14ac:dyDescent="0.25">
      <c r="A8" s="578" t="s">
        <v>369</v>
      </c>
      <c r="B8" s="579"/>
      <c r="C8" s="579"/>
      <c r="D8" s="579"/>
      <c r="E8" s="579"/>
      <c r="F8" s="579"/>
      <c r="G8" s="580"/>
      <c r="H8" s="5"/>
      <c r="I8" s="33"/>
      <c r="J8" s="5"/>
    </row>
    <row r="9" spans="1:11" x14ac:dyDescent="0.25">
      <c r="A9" s="581" t="s">
        <v>370</v>
      </c>
      <c r="B9" s="582"/>
      <c r="C9" s="582"/>
      <c r="D9" s="582"/>
      <c r="E9" s="582"/>
      <c r="F9" s="582"/>
      <c r="G9" s="583"/>
      <c r="H9" s="5"/>
      <c r="I9" s="34"/>
      <c r="J9" s="5"/>
    </row>
    <row r="10" spans="1:11" x14ac:dyDescent="0.25">
      <c r="A10" s="578" t="s">
        <v>202</v>
      </c>
      <c r="B10" s="579"/>
      <c r="C10" s="579"/>
      <c r="D10" s="579"/>
      <c r="E10" s="579"/>
      <c r="F10" s="579"/>
      <c r="G10" s="580"/>
      <c r="H10" s="5"/>
      <c r="I10" s="33"/>
      <c r="J10" s="5"/>
    </row>
    <row r="11" spans="1:11" x14ac:dyDescent="0.25">
      <c r="A11" s="581" t="s">
        <v>203</v>
      </c>
      <c r="B11" s="582"/>
      <c r="C11" s="582"/>
      <c r="D11" s="582"/>
      <c r="E11" s="582"/>
      <c r="F11" s="582"/>
      <c r="G11" s="583"/>
      <c r="H11" s="5"/>
      <c r="I11" s="34"/>
      <c r="J11" s="5"/>
    </row>
    <row r="12" spans="1:11" x14ac:dyDescent="0.25">
      <c r="A12" s="578" t="s">
        <v>204</v>
      </c>
      <c r="B12" s="579"/>
      <c r="C12" s="579"/>
      <c r="D12" s="579"/>
      <c r="E12" s="579"/>
      <c r="F12" s="579"/>
      <c r="G12" s="580"/>
      <c r="H12" s="5"/>
      <c r="I12" s="33"/>
      <c r="J12" s="5"/>
    </row>
    <row r="13" spans="1:11" x14ac:dyDescent="0.25">
      <c r="A13" s="581" t="s">
        <v>205</v>
      </c>
      <c r="B13" s="582"/>
      <c r="C13" s="582"/>
      <c r="D13" s="582"/>
      <c r="E13" s="582"/>
      <c r="F13" s="582"/>
      <c r="G13" s="583"/>
      <c r="H13" s="5"/>
      <c r="I13" s="34"/>
      <c r="J13" s="5"/>
    </row>
    <row r="14" spans="1:11" x14ac:dyDescent="0.25">
      <c r="A14" s="578" t="s">
        <v>371</v>
      </c>
      <c r="B14" s="579"/>
      <c r="C14" s="579"/>
      <c r="D14" s="579"/>
      <c r="E14" s="579"/>
      <c r="F14" s="579"/>
      <c r="G14" s="580"/>
      <c r="H14" s="5"/>
      <c r="I14" s="33"/>
      <c r="J14" s="5"/>
    </row>
    <row r="15" spans="1:11" x14ac:dyDescent="0.25">
      <c r="A15" s="581" t="s">
        <v>206</v>
      </c>
      <c r="B15" s="582"/>
      <c r="C15" s="582"/>
      <c r="D15" s="582"/>
      <c r="E15" s="582"/>
      <c r="F15" s="582"/>
      <c r="G15" s="583"/>
      <c r="H15" s="5"/>
      <c r="I15" s="34"/>
      <c r="J15" s="5"/>
    </row>
    <row r="16" spans="1:11" x14ac:dyDescent="0.25">
      <c r="A16" s="578" t="s">
        <v>207</v>
      </c>
      <c r="B16" s="579"/>
      <c r="C16" s="579"/>
      <c r="D16" s="579"/>
      <c r="E16" s="579"/>
      <c r="F16" s="579"/>
      <c r="G16" s="580"/>
      <c r="H16" s="5"/>
      <c r="I16" s="33"/>
      <c r="J16" s="5"/>
    </row>
    <row r="17" spans="1:10" x14ac:dyDescent="0.25">
      <c r="A17" s="581" t="s">
        <v>208</v>
      </c>
      <c r="B17" s="582"/>
      <c r="C17" s="582"/>
      <c r="D17" s="582"/>
      <c r="E17" s="582"/>
      <c r="F17" s="582"/>
      <c r="G17" s="583"/>
      <c r="H17" s="5"/>
      <c r="I17" s="34"/>
      <c r="J17" s="5"/>
    </row>
    <row r="18" spans="1:10" x14ac:dyDescent="0.25">
      <c r="A18" s="578" t="s">
        <v>209</v>
      </c>
      <c r="B18" s="579"/>
      <c r="C18" s="579"/>
      <c r="D18" s="579"/>
      <c r="E18" s="579"/>
      <c r="F18" s="579"/>
      <c r="G18" s="580"/>
      <c r="H18" s="5"/>
      <c r="I18" s="33"/>
      <c r="J18" s="5"/>
    </row>
    <row r="19" spans="1:10" x14ac:dyDescent="0.25">
      <c r="A19" s="581" t="s">
        <v>210</v>
      </c>
      <c r="B19" s="583"/>
      <c r="C19" s="604"/>
      <c r="D19" s="605"/>
      <c r="E19" s="605"/>
      <c r="F19" s="605"/>
      <c r="G19" s="606"/>
      <c r="H19" s="5"/>
      <c r="I19" s="34"/>
      <c r="J19" s="5"/>
    </row>
    <row r="20" spans="1:10" x14ac:dyDescent="0.25">
      <c r="A20" s="578" t="s">
        <v>210</v>
      </c>
      <c r="B20" s="580"/>
      <c r="C20" s="607"/>
      <c r="D20" s="608"/>
      <c r="E20" s="608"/>
      <c r="F20" s="608"/>
      <c r="G20" s="609"/>
      <c r="H20" s="5"/>
      <c r="I20" s="33"/>
      <c r="J20" s="5"/>
    </row>
    <row r="21" spans="1:10" x14ac:dyDescent="0.25">
      <c r="A21" s="581" t="s">
        <v>210</v>
      </c>
      <c r="B21" s="583"/>
      <c r="C21" s="604"/>
      <c r="D21" s="605"/>
      <c r="E21" s="605"/>
      <c r="F21" s="605"/>
      <c r="G21" s="606"/>
      <c r="H21" s="5"/>
      <c r="I21" s="34"/>
      <c r="J21" s="5"/>
    </row>
    <row r="22" spans="1:10" x14ac:dyDescent="0.25">
      <c r="A22" s="578" t="s">
        <v>210</v>
      </c>
      <c r="B22" s="580"/>
      <c r="C22" s="607"/>
      <c r="D22" s="608"/>
      <c r="E22" s="608"/>
      <c r="F22" s="608"/>
      <c r="G22" s="609"/>
      <c r="H22" s="5"/>
      <c r="I22" s="33"/>
      <c r="J22" s="5"/>
    </row>
    <row r="56" spans="1:8" x14ac:dyDescent="0.25">
      <c r="A56" s="602" t="s">
        <v>325</v>
      </c>
      <c r="B56" s="602"/>
      <c r="C56" s="602"/>
      <c r="D56" s="602"/>
      <c r="E56" s="603" t="str">
        <f>County</f>
        <v>Alameda</v>
      </c>
      <c r="F56" s="603"/>
      <c r="G56" s="603"/>
      <c r="H56" s="603"/>
    </row>
  </sheetData>
  <sheetProtection password="CB13" sheet="1" objects="1" scenarios="1"/>
  <mergeCells count="25">
    <mergeCell ref="A56:D56"/>
    <mergeCell ref="E56:H56"/>
    <mergeCell ref="A16:G16"/>
    <mergeCell ref="A17:G17"/>
    <mergeCell ref="A18:G18"/>
    <mergeCell ref="A19:B19"/>
    <mergeCell ref="C19:G19"/>
    <mergeCell ref="A20:B20"/>
    <mergeCell ref="C20:G20"/>
    <mergeCell ref="A21:B21"/>
    <mergeCell ref="C21:G21"/>
    <mergeCell ref="A22:B22"/>
    <mergeCell ref="C22:G22"/>
    <mergeCell ref="A14:G14"/>
    <mergeCell ref="A15:G15"/>
    <mergeCell ref="A10:G10"/>
    <mergeCell ref="A11:G11"/>
    <mergeCell ref="A1:J1"/>
    <mergeCell ref="A2:J4"/>
    <mergeCell ref="H6:J7"/>
    <mergeCell ref="A7:G7"/>
    <mergeCell ref="A8:G8"/>
    <mergeCell ref="A9:G9"/>
    <mergeCell ref="A12:G12"/>
    <mergeCell ref="A13:G13"/>
  </mergeCells>
  <phoneticPr fontId="2" type="noConversion"/>
  <dataValidations count="2">
    <dataValidation type="whole" allowBlank="1" showInputMessage="1" showErrorMessage="1" error="Enter whole number only." prompt="Enter estimated number of assessments that will be administered using YOBG funds." sqref="I8:I22" xr:uid="{00000000-0002-0000-0900-000000000000}">
      <formula1>0</formula1>
      <formula2>20000</formula2>
    </dataValidation>
    <dataValidation allowBlank="1" showInputMessage="1" showErrorMessage="1" prompt="Enter name of assessment instrument and provide estimate of number of times it will be administered using YOBG funds in the box to the right." sqref="C19:G22" xr:uid="{00000000-0002-0000-0900-000001000000}"/>
  </dataValidations>
  <printOptions horizontalCentered="1"/>
  <pageMargins left="0.5" right="0.5" top="0.5" bottom="0.5" header="0.5" footer="0.5"/>
  <pageSetup firstPageNumber="15" orientation="portrait" useFirstPageNumber="1" r:id="rId1"/>
  <headerFooter alignWithMargins="0">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J53"/>
  <sheetViews>
    <sheetView workbookViewId="0">
      <selection activeCell="A27" sqref="A27:J38"/>
    </sheetView>
  </sheetViews>
  <sheetFormatPr defaultRowHeight="13.2" x14ac:dyDescent="0.25"/>
  <sheetData>
    <row r="1" spans="1:10" ht="15.6" x14ac:dyDescent="0.3">
      <c r="A1" s="584" t="s">
        <v>190</v>
      </c>
      <c r="B1" s="585"/>
      <c r="C1" s="585"/>
      <c r="D1" s="585"/>
      <c r="E1" s="585"/>
      <c r="F1" s="585"/>
      <c r="G1" s="585"/>
      <c r="H1" s="585"/>
      <c r="I1" s="585"/>
      <c r="J1" s="586"/>
    </row>
    <row r="2" spans="1:10" x14ac:dyDescent="0.25">
      <c r="A2" s="626" t="s">
        <v>390</v>
      </c>
      <c r="B2" s="627"/>
      <c r="C2" s="627"/>
      <c r="D2" s="627"/>
      <c r="E2" s="627"/>
      <c r="F2" s="627"/>
      <c r="G2" s="627"/>
      <c r="H2" s="627"/>
      <c r="I2" s="627"/>
      <c r="J2" s="628"/>
    </row>
    <row r="3" spans="1:10" x14ac:dyDescent="0.25">
      <c r="A3" s="622" t="s">
        <v>391</v>
      </c>
      <c r="B3" s="623"/>
      <c r="C3" s="623"/>
      <c r="D3" s="623"/>
      <c r="E3" s="623"/>
      <c r="F3" s="623"/>
      <c r="G3" s="623"/>
      <c r="H3" s="623"/>
      <c r="I3" s="623"/>
      <c r="J3" s="624"/>
    </row>
    <row r="4" spans="1:10" x14ac:dyDescent="0.25">
      <c r="A4" s="622" t="s">
        <v>392</v>
      </c>
      <c r="B4" s="623"/>
      <c r="C4" s="623"/>
      <c r="D4" s="623"/>
      <c r="E4" s="623"/>
      <c r="F4" s="623"/>
      <c r="G4" s="623"/>
      <c r="H4" s="623"/>
      <c r="I4" s="623"/>
      <c r="J4" s="624"/>
    </row>
    <row r="5" spans="1:10" x14ac:dyDescent="0.25">
      <c r="A5" s="622" t="s">
        <v>393</v>
      </c>
      <c r="B5" s="623"/>
      <c r="C5" s="623"/>
      <c r="D5" s="623"/>
      <c r="E5" s="623"/>
      <c r="F5" s="623"/>
      <c r="G5" s="623"/>
      <c r="H5" s="623"/>
      <c r="I5" s="623"/>
      <c r="J5" s="624"/>
    </row>
    <row r="6" spans="1:10" x14ac:dyDescent="0.25">
      <c r="A6" s="625" t="s">
        <v>394</v>
      </c>
      <c r="B6" s="614"/>
      <c r="C6" s="614"/>
      <c r="D6" s="614"/>
      <c r="E6" s="614"/>
      <c r="F6" s="614"/>
      <c r="G6" s="614"/>
      <c r="H6" s="614"/>
      <c r="I6" s="614"/>
      <c r="J6" s="615"/>
    </row>
    <row r="7" spans="1:10" x14ac:dyDescent="0.25">
      <c r="A7" s="18" t="s">
        <v>395</v>
      </c>
      <c r="B7" s="19"/>
      <c r="C7" s="19"/>
      <c r="D7" s="19"/>
      <c r="E7" s="19"/>
      <c r="F7" s="19"/>
      <c r="G7" s="19"/>
      <c r="H7" s="35"/>
      <c r="I7" s="19"/>
      <c r="J7" s="20"/>
    </row>
    <row r="8" spans="1:10" x14ac:dyDescent="0.25">
      <c r="A8" s="610" t="s">
        <v>396</v>
      </c>
      <c r="B8" s="611"/>
      <c r="C8" s="611"/>
      <c r="D8" s="611"/>
      <c r="E8" s="611"/>
      <c r="F8" s="611"/>
      <c r="G8" s="611"/>
      <c r="H8" s="611"/>
      <c r="I8" s="611"/>
      <c r="J8" s="612"/>
    </row>
    <row r="9" spans="1:10" x14ac:dyDescent="0.25">
      <c r="A9" s="613" t="s">
        <v>196</v>
      </c>
      <c r="B9" s="614"/>
      <c r="C9" s="614"/>
      <c r="D9" s="614"/>
      <c r="E9" s="614"/>
      <c r="F9" s="614"/>
      <c r="G9" s="614"/>
      <c r="H9" s="614"/>
      <c r="I9" s="614"/>
      <c r="J9" s="615"/>
    </row>
    <row r="10" spans="1:10" x14ac:dyDescent="0.25">
      <c r="A10" s="621"/>
      <c r="B10" s="306"/>
      <c r="C10" s="306"/>
      <c r="D10" s="306"/>
      <c r="E10" s="306"/>
      <c r="F10" s="306"/>
      <c r="G10" s="306"/>
      <c r="H10" s="306"/>
      <c r="I10" s="306"/>
      <c r="J10" s="307"/>
    </row>
    <row r="11" spans="1:10" x14ac:dyDescent="0.25">
      <c r="A11" s="308"/>
      <c r="B11" s="309"/>
      <c r="C11" s="309"/>
      <c r="D11" s="309"/>
      <c r="E11" s="309"/>
      <c r="F11" s="309"/>
      <c r="G11" s="309"/>
      <c r="H11" s="309"/>
      <c r="I11" s="309"/>
      <c r="J11" s="310"/>
    </row>
    <row r="12" spans="1:10" x14ac:dyDescent="0.25">
      <c r="A12" s="308"/>
      <c r="B12" s="309"/>
      <c r="C12" s="309"/>
      <c r="D12" s="309"/>
      <c r="E12" s="309"/>
      <c r="F12" s="309"/>
      <c r="G12" s="309"/>
      <c r="H12" s="309"/>
      <c r="I12" s="309"/>
      <c r="J12" s="310"/>
    </row>
    <row r="13" spans="1:10" x14ac:dyDescent="0.25">
      <c r="A13" s="308"/>
      <c r="B13" s="309"/>
      <c r="C13" s="309"/>
      <c r="D13" s="309"/>
      <c r="E13" s="309"/>
      <c r="F13" s="309"/>
      <c r="G13" s="309"/>
      <c r="H13" s="309"/>
      <c r="I13" s="309"/>
      <c r="J13" s="310"/>
    </row>
    <row r="14" spans="1:10" x14ac:dyDescent="0.25">
      <c r="A14" s="308"/>
      <c r="B14" s="309"/>
      <c r="C14" s="309"/>
      <c r="D14" s="309"/>
      <c r="E14" s="309"/>
      <c r="F14" s="309"/>
      <c r="G14" s="309"/>
      <c r="H14" s="309"/>
      <c r="I14" s="309"/>
      <c r="J14" s="310"/>
    </row>
    <row r="15" spans="1:10" x14ac:dyDescent="0.25">
      <c r="A15" s="308"/>
      <c r="B15" s="309"/>
      <c r="C15" s="309"/>
      <c r="D15" s="309"/>
      <c r="E15" s="309"/>
      <c r="F15" s="309"/>
      <c r="G15" s="309"/>
      <c r="H15" s="309"/>
      <c r="I15" s="309"/>
      <c r="J15" s="310"/>
    </row>
    <row r="16" spans="1:10" x14ac:dyDescent="0.25">
      <c r="A16" s="308"/>
      <c r="B16" s="309"/>
      <c r="C16" s="309"/>
      <c r="D16" s="309"/>
      <c r="E16" s="309"/>
      <c r="F16" s="309"/>
      <c r="G16" s="309"/>
      <c r="H16" s="309"/>
      <c r="I16" s="309"/>
      <c r="J16" s="310"/>
    </row>
    <row r="17" spans="1:10" x14ac:dyDescent="0.25">
      <c r="A17" s="308"/>
      <c r="B17" s="309"/>
      <c r="C17" s="309"/>
      <c r="D17" s="309"/>
      <c r="E17" s="309"/>
      <c r="F17" s="309"/>
      <c r="G17" s="309"/>
      <c r="H17" s="309"/>
      <c r="I17" s="309"/>
      <c r="J17" s="310"/>
    </row>
    <row r="18" spans="1:10" x14ac:dyDescent="0.25">
      <c r="A18" s="308"/>
      <c r="B18" s="309"/>
      <c r="C18" s="309"/>
      <c r="D18" s="309"/>
      <c r="E18" s="309"/>
      <c r="F18" s="309"/>
      <c r="G18" s="309"/>
      <c r="H18" s="309"/>
      <c r="I18" s="309"/>
      <c r="J18" s="310"/>
    </row>
    <row r="19" spans="1:10" x14ac:dyDescent="0.25">
      <c r="A19" s="308"/>
      <c r="B19" s="309"/>
      <c r="C19" s="309"/>
      <c r="D19" s="309"/>
      <c r="E19" s="309"/>
      <c r="F19" s="309"/>
      <c r="G19" s="309"/>
      <c r="H19" s="309"/>
      <c r="I19" s="309"/>
      <c r="J19" s="310"/>
    </row>
    <row r="20" spans="1:10" x14ac:dyDescent="0.25">
      <c r="A20" s="308"/>
      <c r="B20" s="309"/>
      <c r="C20" s="309"/>
      <c r="D20" s="309"/>
      <c r="E20" s="309"/>
      <c r="F20" s="309"/>
      <c r="G20" s="309"/>
      <c r="H20" s="309"/>
      <c r="I20" s="309"/>
      <c r="J20" s="310"/>
    </row>
    <row r="21" spans="1:10" x14ac:dyDescent="0.25">
      <c r="A21" s="308"/>
      <c r="B21" s="309"/>
      <c r="C21" s="309"/>
      <c r="D21" s="309"/>
      <c r="E21" s="309"/>
      <c r="F21" s="309"/>
      <c r="G21" s="309"/>
      <c r="H21" s="309"/>
      <c r="I21" s="309"/>
      <c r="J21" s="310"/>
    </row>
    <row r="22" spans="1:10" x14ac:dyDescent="0.25">
      <c r="A22" s="308"/>
      <c r="B22" s="309"/>
      <c r="C22" s="309"/>
      <c r="D22" s="309"/>
      <c r="E22" s="309"/>
      <c r="F22" s="309"/>
      <c r="G22" s="309"/>
      <c r="H22" s="309"/>
      <c r="I22" s="309"/>
      <c r="J22" s="310"/>
    </row>
    <row r="23" spans="1:10" x14ac:dyDescent="0.25">
      <c r="A23" s="308"/>
      <c r="B23" s="309"/>
      <c r="C23" s="309"/>
      <c r="D23" s="309"/>
      <c r="E23" s="309"/>
      <c r="F23" s="309"/>
      <c r="G23" s="309"/>
      <c r="H23" s="309"/>
      <c r="I23" s="309"/>
      <c r="J23" s="310"/>
    </row>
    <row r="24" spans="1:10" x14ac:dyDescent="0.25">
      <c r="A24" s="308"/>
      <c r="B24" s="309"/>
      <c r="C24" s="309"/>
      <c r="D24" s="309"/>
      <c r="E24" s="309"/>
      <c r="F24" s="309"/>
      <c r="G24" s="309"/>
      <c r="H24" s="309"/>
      <c r="I24" s="309"/>
      <c r="J24" s="310"/>
    </row>
    <row r="25" spans="1:10" x14ac:dyDescent="0.25">
      <c r="A25" s="311"/>
      <c r="B25" s="312"/>
      <c r="C25" s="312"/>
      <c r="D25" s="312"/>
      <c r="E25" s="312"/>
      <c r="F25" s="312"/>
      <c r="G25" s="312"/>
      <c r="H25" s="312"/>
      <c r="I25" s="312"/>
      <c r="J25" s="313"/>
    </row>
    <row r="26" spans="1:10" x14ac:dyDescent="0.25">
      <c r="A26" s="28" t="s">
        <v>191</v>
      </c>
      <c r="B26" s="29"/>
      <c r="C26" s="29"/>
      <c r="D26" s="29"/>
      <c r="E26" s="29"/>
      <c r="F26" s="29"/>
      <c r="G26" s="29"/>
      <c r="H26" s="29"/>
      <c r="I26" s="29"/>
      <c r="J26" s="30"/>
    </row>
    <row r="27" spans="1:10" x14ac:dyDescent="0.25">
      <c r="A27" s="621"/>
      <c r="B27" s="306"/>
      <c r="C27" s="306"/>
      <c r="D27" s="306"/>
      <c r="E27" s="306"/>
      <c r="F27" s="306"/>
      <c r="G27" s="306"/>
      <c r="H27" s="306"/>
      <c r="I27" s="306"/>
      <c r="J27" s="307"/>
    </row>
    <row r="28" spans="1:10" x14ac:dyDescent="0.25">
      <c r="A28" s="308"/>
      <c r="B28" s="309"/>
      <c r="C28" s="309"/>
      <c r="D28" s="309"/>
      <c r="E28" s="309"/>
      <c r="F28" s="309"/>
      <c r="G28" s="309"/>
      <c r="H28" s="309"/>
      <c r="I28" s="309"/>
      <c r="J28" s="310"/>
    </row>
    <row r="29" spans="1:10" x14ac:dyDescent="0.25">
      <c r="A29" s="308"/>
      <c r="B29" s="309"/>
      <c r="C29" s="309"/>
      <c r="D29" s="309"/>
      <c r="E29" s="309"/>
      <c r="F29" s="309"/>
      <c r="G29" s="309"/>
      <c r="H29" s="309"/>
      <c r="I29" s="309"/>
      <c r="J29" s="310"/>
    </row>
    <row r="30" spans="1:10" x14ac:dyDescent="0.25">
      <c r="A30" s="308"/>
      <c r="B30" s="309"/>
      <c r="C30" s="309"/>
      <c r="D30" s="309"/>
      <c r="E30" s="309"/>
      <c r="F30" s="309"/>
      <c r="G30" s="309"/>
      <c r="H30" s="309"/>
      <c r="I30" s="309"/>
      <c r="J30" s="310"/>
    </row>
    <row r="31" spans="1:10" x14ac:dyDescent="0.25">
      <c r="A31" s="308"/>
      <c r="B31" s="309"/>
      <c r="C31" s="309"/>
      <c r="D31" s="309"/>
      <c r="E31" s="309"/>
      <c r="F31" s="309"/>
      <c r="G31" s="309"/>
      <c r="H31" s="309"/>
      <c r="I31" s="309"/>
      <c r="J31" s="310"/>
    </row>
    <row r="32" spans="1:10" x14ac:dyDescent="0.25">
      <c r="A32" s="308"/>
      <c r="B32" s="309"/>
      <c r="C32" s="309"/>
      <c r="D32" s="309"/>
      <c r="E32" s="309"/>
      <c r="F32" s="309"/>
      <c r="G32" s="309"/>
      <c r="H32" s="309"/>
      <c r="I32" s="309"/>
      <c r="J32" s="310"/>
    </row>
    <row r="33" spans="1:10" x14ac:dyDescent="0.25">
      <c r="A33" s="308"/>
      <c r="B33" s="309"/>
      <c r="C33" s="309"/>
      <c r="D33" s="309"/>
      <c r="E33" s="309"/>
      <c r="F33" s="309"/>
      <c r="G33" s="309"/>
      <c r="H33" s="309"/>
      <c r="I33" s="309"/>
      <c r="J33" s="310"/>
    </row>
    <row r="34" spans="1:10" x14ac:dyDescent="0.25">
      <c r="A34" s="308"/>
      <c r="B34" s="309"/>
      <c r="C34" s="309"/>
      <c r="D34" s="309"/>
      <c r="E34" s="309"/>
      <c r="F34" s="309"/>
      <c r="G34" s="309"/>
      <c r="H34" s="309"/>
      <c r="I34" s="309"/>
      <c r="J34" s="310"/>
    </row>
    <row r="35" spans="1:10" x14ac:dyDescent="0.25">
      <c r="A35" s="308"/>
      <c r="B35" s="309"/>
      <c r="C35" s="309"/>
      <c r="D35" s="309"/>
      <c r="E35" s="309"/>
      <c r="F35" s="309"/>
      <c r="G35" s="309"/>
      <c r="H35" s="309"/>
      <c r="I35" s="309"/>
      <c r="J35" s="310"/>
    </row>
    <row r="36" spans="1:10" x14ac:dyDescent="0.25">
      <c r="A36" s="308"/>
      <c r="B36" s="309"/>
      <c r="C36" s="309"/>
      <c r="D36" s="309"/>
      <c r="E36" s="309"/>
      <c r="F36" s="309"/>
      <c r="G36" s="309"/>
      <c r="H36" s="309"/>
      <c r="I36" s="309"/>
      <c r="J36" s="310"/>
    </row>
    <row r="37" spans="1:10" x14ac:dyDescent="0.25">
      <c r="A37" s="308"/>
      <c r="B37" s="309"/>
      <c r="C37" s="309"/>
      <c r="D37" s="309"/>
      <c r="E37" s="309"/>
      <c r="F37" s="309"/>
      <c r="G37" s="309"/>
      <c r="H37" s="309"/>
      <c r="I37" s="309"/>
      <c r="J37" s="310"/>
    </row>
    <row r="38" spans="1:10" x14ac:dyDescent="0.25">
      <c r="A38" s="311"/>
      <c r="B38" s="312"/>
      <c r="C38" s="312"/>
      <c r="D38" s="312"/>
      <c r="E38" s="312"/>
      <c r="F38" s="312"/>
      <c r="G38" s="312"/>
      <c r="H38" s="312"/>
      <c r="I38" s="312"/>
      <c r="J38" s="313"/>
    </row>
    <row r="39" spans="1:10" x14ac:dyDescent="0.25">
      <c r="A39" s="616" t="s">
        <v>327</v>
      </c>
      <c r="B39" s="617"/>
      <c r="C39" s="617"/>
      <c r="D39" s="617"/>
      <c r="E39" s="617"/>
      <c r="F39" s="617"/>
      <c r="G39" s="617"/>
      <c r="H39" s="617"/>
      <c r="I39" s="617"/>
      <c r="J39" s="618"/>
    </row>
    <row r="40" spans="1:10" x14ac:dyDescent="0.25">
      <c r="A40" s="613" t="s">
        <v>321</v>
      </c>
      <c r="B40" s="619"/>
      <c r="C40" s="619"/>
      <c r="D40" s="619"/>
      <c r="E40" s="619"/>
      <c r="F40" s="619"/>
      <c r="G40" s="619"/>
      <c r="H40" s="619"/>
      <c r="I40" s="619"/>
      <c r="J40" s="620"/>
    </row>
    <row r="41" spans="1:10" x14ac:dyDescent="0.25">
      <c r="A41" s="621"/>
      <c r="B41" s="306"/>
      <c r="C41" s="306"/>
      <c r="D41" s="306"/>
      <c r="E41" s="306"/>
      <c r="F41" s="306"/>
      <c r="G41" s="306"/>
      <c r="H41" s="306"/>
      <c r="I41" s="306"/>
      <c r="J41" s="307"/>
    </row>
    <row r="42" spans="1:10" x14ac:dyDescent="0.25">
      <c r="A42" s="308"/>
      <c r="B42" s="309"/>
      <c r="C42" s="309"/>
      <c r="D42" s="309"/>
      <c r="E42" s="309"/>
      <c r="F42" s="309"/>
      <c r="G42" s="309"/>
      <c r="H42" s="309"/>
      <c r="I42" s="309"/>
      <c r="J42" s="310"/>
    </row>
    <row r="43" spans="1:10" x14ac:dyDescent="0.25">
      <c r="A43" s="308"/>
      <c r="B43" s="309"/>
      <c r="C43" s="309"/>
      <c r="D43" s="309"/>
      <c r="E43" s="309"/>
      <c r="F43" s="309"/>
      <c r="G43" s="309"/>
      <c r="H43" s="309"/>
      <c r="I43" s="309"/>
      <c r="J43" s="310"/>
    </row>
    <row r="44" spans="1:10" x14ac:dyDescent="0.25">
      <c r="A44" s="308"/>
      <c r="B44" s="309"/>
      <c r="C44" s="309"/>
      <c r="D44" s="309"/>
      <c r="E44" s="309"/>
      <c r="F44" s="309"/>
      <c r="G44" s="309"/>
      <c r="H44" s="309"/>
      <c r="I44" s="309"/>
      <c r="J44" s="310"/>
    </row>
    <row r="45" spans="1:10" x14ac:dyDescent="0.25">
      <c r="A45" s="308"/>
      <c r="B45" s="309"/>
      <c r="C45" s="309"/>
      <c r="D45" s="309"/>
      <c r="E45" s="309"/>
      <c r="F45" s="309"/>
      <c r="G45" s="309"/>
      <c r="H45" s="309"/>
      <c r="I45" s="309"/>
      <c r="J45" s="310"/>
    </row>
    <row r="46" spans="1:10" x14ac:dyDescent="0.25">
      <c r="A46" s="308"/>
      <c r="B46" s="309"/>
      <c r="C46" s="309"/>
      <c r="D46" s="309"/>
      <c r="E46" s="309"/>
      <c r="F46" s="309"/>
      <c r="G46" s="309"/>
      <c r="H46" s="309"/>
      <c r="I46" s="309"/>
      <c r="J46" s="310"/>
    </row>
    <row r="47" spans="1:10" x14ac:dyDescent="0.25">
      <c r="A47" s="308"/>
      <c r="B47" s="309"/>
      <c r="C47" s="309"/>
      <c r="D47" s="309"/>
      <c r="E47" s="309"/>
      <c r="F47" s="309"/>
      <c r="G47" s="309"/>
      <c r="H47" s="309"/>
      <c r="I47" s="309"/>
      <c r="J47" s="310"/>
    </row>
    <row r="48" spans="1:10" x14ac:dyDescent="0.25">
      <c r="A48" s="308"/>
      <c r="B48" s="309"/>
      <c r="C48" s="309"/>
      <c r="D48" s="309"/>
      <c r="E48" s="309"/>
      <c r="F48" s="309"/>
      <c r="G48" s="309"/>
      <c r="H48" s="309"/>
      <c r="I48" s="309"/>
      <c r="J48" s="310"/>
    </row>
    <row r="49" spans="1:10" x14ac:dyDescent="0.25">
      <c r="A49" s="308"/>
      <c r="B49" s="309"/>
      <c r="C49" s="309"/>
      <c r="D49" s="309"/>
      <c r="E49" s="309"/>
      <c r="F49" s="309"/>
      <c r="G49" s="309"/>
      <c r="H49" s="309"/>
      <c r="I49" s="309"/>
      <c r="J49" s="310"/>
    </row>
    <row r="50" spans="1:10" x14ac:dyDescent="0.25">
      <c r="A50" s="308"/>
      <c r="B50" s="309"/>
      <c r="C50" s="309"/>
      <c r="D50" s="309"/>
      <c r="E50" s="309"/>
      <c r="F50" s="309"/>
      <c r="G50" s="309"/>
      <c r="H50" s="309"/>
      <c r="I50" s="309"/>
      <c r="J50" s="310"/>
    </row>
    <row r="51" spans="1:10" x14ac:dyDescent="0.25">
      <c r="A51" s="308"/>
      <c r="B51" s="309"/>
      <c r="C51" s="309"/>
      <c r="D51" s="309"/>
      <c r="E51" s="309"/>
      <c r="F51" s="309"/>
      <c r="G51" s="309"/>
      <c r="H51" s="309"/>
      <c r="I51" s="309"/>
      <c r="J51" s="310"/>
    </row>
    <row r="52" spans="1:10" x14ac:dyDescent="0.25">
      <c r="A52" s="311"/>
      <c r="B52" s="312"/>
      <c r="C52" s="312"/>
      <c r="D52" s="312"/>
      <c r="E52" s="312"/>
      <c r="F52" s="312"/>
      <c r="G52" s="312"/>
      <c r="H52" s="312"/>
      <c r="I52" s="312"/>
      <c r="J52" s="313"/>
    </row>
    <row r="53" spans="1:10" x14ac:dyDescent="0.25">
      <c r="A53" s="602" t="s">
        <v>325</v>
      </c>
      <c r="B53" s="602"/>
      <c r="C53" s="602"/>
      <c r="D53" s="602"/>
      <c r="E53" s="603" t="str">
        <f>County</f>
        <v>Alameda</v>
      </c>
      <c r="F53" s="603"/>
      <c r="G53" s="603"/>
      <c r="H53" s="603"/>
    </row>
  </sheetData>
  <sheetProtection password="CB13" sheet="1" objects="1" scenarios="1"/>
  <mergeCells count="15">
    <mergeCell ref="A5:J5"/>
    <mergeCell ref="A6:J6"/>
    <mergeCell ref="A1:J1"/>
    <mergeCell ref="A2:J2"/>
    <mergeCell ref="A3:J3"/>
    <mergeCell ref="A4:J4"/>
    <mergeCell ref="A53:D53"/>
    <mergeCell ref="A8:J8"/>
    <mergeCell ref="A9:J9"/>
    <mergeCell ref="A39:J39"/>
    <mergeCell ref="A40:J40"/>
    <mergeCell ref="A41:J52"/>
    <mergeCell ref="E53:H53"/>
    <mergeCell ref="A27:J38"/>
    <mergeCell ref="A10:J25"/>
  </mergeCells>
  <phoneticPr fontId="2" type="noConversion"/>
  <dataValidations count="3">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10:J25 A27:J38" xr:uid="{00000000-0002-0000-0A00-000000000000}"/>
    <dataValidation allowBlank="1" showInputMessage="1" showErrorMessage="1" prompt="Double click on the box to enter/edit your response.  Do not exceed the space provided.  You will not be able to format your response in more than one paragraph.  Skip this item if you responded &quot;Yes&quot; to item #1." sqref="A41:J52" xr:uid="{00000000-0002-0000-0A00-000001000000}"/>
    <dataValidation type="list" allowBlank="1" showInputMessage="1" showErrorMessage="1" prompt="If your response is &quot;No,&quot; skip to item 4." sqref="H7" xr:uid="{00000000-0002-0000-0A00-000002000000}">
      <formula1>YESNO</formula1>
    </dataValidation>
  </dataValidations>
  <printOptions horizontalCentered="1"/>
  <pageMargins left="0.5" right="0.5" top="0.5" bottom="0.5" header="0.5" footer="0.25"/>
  <pageSetup firstPageNumber="16" orientation="portrait" useFirstPageNumber="1" horizontalDpi="300" verticalDpi="300" r:id="rId1"/>
  <headerFooter alignWithMargins="0">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1"/>
  <dimension ref="A1:J57"/>
  <sheetViews>
    <sheetView workbookViewId="0">
      <selection activeCell="K50" sqref="K50"/>
    </sheetView>
  </sheetViews>
  <sheetFormatPr defaultRowHeight="13.2" x14ac:dyDescent="0.25"/>
  <sheetData>
    <row r="1" spans="1:10" ht="15.6" x14ac:dyDescent="0.3">
      <c r="A1" s="584" t="s">
        <v>285</v>
      </c>
      <c r="B1" s="585"/>
      <c r="C1" s="585"/>
      <c r="D1" s="585"/>
      <c r="E1" s="585"/>
      <c r="F1" s="585"/>
      <c r="G1" s="585"/>
      <c r="H1" s="585"/>
      <c r="I1" s="585"/>
      <c r="J1" s="586"/>
    </row>
    <row r="2" spans="1:10" x14ac:dyDescent="0.25">
      <c r="A2" s="626" t="s">
        <v>397</v>
      </c>
      <c r="B2" s="627"/>
      <c r="C2" s="627"/>
      <c r="D2" s="627"/>
      <c r="E2" s="627"/>
      <c r="F2" s="627"/>
      <c r="G2" s="627"/>
      <c r="H2" s="627"/>
      <c r="I2" s="627"/>
      <c r="J2" s="628"/>
    </row>
    <row r="3" spans="1:10" x14ac:dyDescent="0.25">
      <c r="A3" s="622" t="s">
        <v>398</v>
      </c>
      <c r="B3" s="623"/>
      <c r="C3" s="623"/>
      <c r="D3" s="623"/>
      <c r="E3" s="623"/>
      <c r="F3" s="623"/>
      <c r="G3" s="623"/>
      <c r="H3" s="623"/>
      <c r="I3" s="623"/>
      <c r="J3" s="624"/>
    </row>
    <row r="4" spans="1:10" x14ac:dyDescent="0.25">
      <c r="A4" s="622" t="s">
        <v>399</v>
      </c>
      <c r="B4" s="623"/>
      <c r="C4" s="623"/>
      <c r="D4" s="623"/>
      <c r="E4" s="623"/>
      <c r="F4" s="623"/>
      <c r="G4" s="623"/>
      <c r="H4" s="623"/>
      <c r="I4" s="623"/>
      <c r="J4" s="624"/>
    </row>
    <row r="5" spans="1:10" x14ac:dyDescent="0.25">
      <c r="A5" s="622" t="s">
        <v>400</v>
      </c>
      <c r="B5" s="623"/>
      <c r="C5" s="623"/>
      <c r="D5" s="623"/>
      <c r="E5" s="623"/>
      <c r="F5" s="623"/>
      <c r="G5" s="623"/>
      <c r="H5" s="623"/>
      <c r="I5" s="623"/>
      <c r="J5" s="624"/>
    </row>
    <row r="6" spans="1:10" x14ac:dyDescent="0.25">
      <c r="A6" s="26" t="s">
        <v>401</v>
      </c>
      <c r="B6" s="27"/>
      <c r="C6" s="27"/>
      <c r="D6" s="27"/>
      <c r="E6" s="27"/>
      <c r="F6" s="27"/>
      <c r="G6" s="27"/>
      <c r="H6" s="27"/>
      <c r="I6" s="36"/>
      <c r="J6" s="20"/>
    </row>
    <row r="7" spans="1:10" x14ac:dyDescent="0.25">
      <c r="A7" s="21" t="s">
        <v>402</v>
      </c>
      <c r="B7" s="16"/>
      <c r="C7" s="16"/>
      <c r="D7" s="16"/>
      <c r="E7" s="16"/>
      <c r="F7" s="16"/>
      <c r="G7" s="16"/>
      <c r="H7" s="16"/>
      <c r="I7" s="37"/>
      <c r="J7" s="17"/>
    </row>
    <row r="8" spans="1:10" x14ac:dyDescent="0.25">
      <c r="A8" s="633" t="s">
        <v>194</v>
      </c>
      <c r="B8" s="614"/>
      <c r="C8" s="614"/>
      <c r="D8" s="614"/>
      <c r="E8" s="614"/>
      <c r="F8" s="614"/>
      <c r="G8" s="614"/>
      <c r="H8" s="614"/>
      <c r="I8" s="614"/>
      <c r="J8" s="615"/>
    </row>
    <row r="9" spans="1:10" x14ac:dyDescent="0.25">
      <c r="A9" s="621"/>
      <c r="B9" s="306"/>
      <c r="C9" s="306"/>
      <c r="D9" s="306"/>
      <c r="E9" s="306"/>
      <c r="F9" s="306"/>
      <c r="G9" s="306"/>
      <c r="H9" s="306"/>
      <c r="I9" s="306"/>
      <c r="J9" s="307"/>
    </row>
    <row r="10" spans="1:10" x14ac:dyDescent="0.25">
      <c r="A10" s="308"/>
      <c r="B10" s="309"/>
      <c r="C10" s="309"/>
      <c r="D10" s="309"/>
      <c r="E10" s="309"/>
      <c r="F10" s="309"/>
      <c r="G10" s="309"/>
      <c r="H10" s="309"/>
      <c r="I10" s="309"/>
      <c r="J10" s="310"/>
    </row>
    <row r="11" spans="1:10" x14ac:dyDescent="0.25">
      <c r="A11" s="308"/>
      <c r="B11" s="309"/>
      <c r="C11" s="309"/>
      <c r="D11" s="309"/>
      <c r="E11" s="309"/>
      <c r="F11" s="309"/>
      <c r="G11" s="309"/>
      <c r="H11" s="309"/>
      <c r="I11" s="309"/>
      <c r="J11" s="310"/>
    </row>
    <row r="12" spans="1:10" x14ac:dyDescent="0.25">
      <c r="A12" s="308"/>
      <c r="B12" s="309"/>
      <c r="C12" s="309"/>
      <c r="D12" s="309"/>
      <c r="E12" s="309"/>
      <c r="F12" s="309"/>
      <c r="G12" s="309"/>
      <c r="H12" s="309"/>
      <c r="I12" s="309"/>
      <c r="J12" s="310"/>
    </row>
    <row r="13" spans="1:10" x14ac:dyDescent="0.25">
      <c r="A13" s="308"/>
      <c r="B13" s="309"/>
      <c r="C13" s="309"/>
      <c r="D13" s="309"/>
      <c r="E13" s="309"/>
      <c r="F13" s="309"/>
      <c r="G13" s="309"/>
      <c r="H13" s="309"/>
      <c r="I13" s="309"/>
      <c r="J13" s="310"/>
    </row>
    <row r="14" spans="1:10" x14ac:dyDescent="0.25">
      <c r="A14" s="308"/>
      <c r="B14" s="309"/>
      <c r="C14" s="309"/>
      <c r="D14" s="309"/>
      <c r="E14" s="309"/>
      <c r="F14" s="309"/>
      <c r="G14" s="309"/>
      <c r="H14" s="309"/>
      <c r="I14" s="309"/>
      <c r="J14" s="310"/>
    </row>
    <row r="15" spans="1:10" x14ac:dyDescent="0.25">
      <c r="A15" s="308"/>
      <c r="B15" s="309"/>
      <c r="C15" s="309"/>
      <c r="D15" s="309"/>
      <c r="E15" s="309"/>
      <c r="F15" s="309"/>
      <c r="G15" s="309"/>
      <c r="H15" s="309"/>
      <c r="I15" s="309"/>
      <c r="J15" s="310"/>
    </row>
    <row r="16" spans="1:10" x14ac:dyDescent="0.25">
      <c r="A16" s="308"/>
      <c r="B16" s="309"/>
      <c r="C16" s="309"/>
      <c r="D16" s="309"/>
      <c r="E16" s="309"/>
      <c r="F16" s="309"/>
      <c r="G16" s="309"/>
      <c r="H16" s="309"/>
      <c r="I16" s="309"/>
      <c r="J16" s="310"/>
    </row>
    <row r="17" spans="1:10" x14ac:dyDescent="0.25">
      <c r="A17" s="308"/>
      <c r="B17" s="309"/>
      <c r="C17" s="309"/>
      <c r="D17" s="309"/>
      <c r="E17" s="309"/>
      <c r="F17" s="309"/>
      <c r="G17" s="309"/>
      <c r="H17" s="309"/>
      <c r="I17" s="309"/>
      <c r="J17" s="310"/>
    </row>
    <row r="18" spans="1:10" x14ac:dyDescent="0.25">
      <c r="A18" s="308"/>
      <c r="B18" s="309"/>
      <c r="C18" s="309"/>
      <c r="D18" s="309"/>
      <c r="E18" s="309"/>
      <c r="F18" s="309"/>
      <c r="G18" s="309"/>
      <c r="H18" s="309"/>
      <c r="I18" s="309"/>
      <c r="J18" s="310"/>
    </row>
    <row r="19" spans="1:10" x14ac:dyDescent="0.25">
      <c r="A19" s="308"/>
      <c r="B19" s="309"/>
      <c r="C19" s="309"/>
      <c r="D19" s="309"/>
      <c r="E19" s="309"/>
      <c r="F19" s="309"/>
      <c r="G19" s="309"/>
      <c r="H19" s="309"/>
      <c r="I19" s="309"/>
      <c r="J19" s="310"/>
    </row>
    <row r="20" spans="1:10" x14ac:dyDescent="0.25">
      <c r="A20" s="308"/>
      <c r="B20" s="309"/>
      <c r="C20" s="309"/>
      <c r="D20" s="309"/>
      <c r="E20" s="309"/>
      <c r="F20" s="309"/>
      <c r="G20" s="309"/>
      <c r="H20" s="309"/>
      <c r="I20" s="309"/>
      <c r="J20" s="310"/>
    </row>
    <row r="21" spans="1:10" x14ac:dyDescent="0.25">
      <c r="A21" s="308"/>
      <c r="B21" s="309"/>
      <c r="C21" s="309"/>
      <c r="D21" s="309"/>
      <c r="E21" s="309"/>
      <c r="F21" s="309"/>
      <c r="G21" s="309"/>
      <c r="H21" s="309"/>
      <c r="I21" s="309"/>
      <c r="J21" s="310"/>
    </row>
    <row r="22" spans="1:10" x14ac:dyDescent="0.25">
      <c r="A22" s="308"/>
      <c r="B22" s="309"/>
      <c r="C22" s="309"/>
      <c r="D22" s="309"/>
      <c r="E22" s="309"/>
      <c r="F22" s="309"/>
      <c r="G22" s="309"/>
      <c r="H22" s="309"/>
      <c r="I22" s="309"/>
      <c r="J22" s="310"/>
    </row>
    <row r="23" spans="1:10" x14ac:dyDescent="0.25">
      <c r="A23" s="308"/>
      <c r="B23" s="309"/>
      <c r="C23" s="309"/>
      <c r="D23" s="309"/>
      <c r="E23" s="309"/>
      <c r="F23" s="309"/>
      <c r="G23" s="309"/>
      <c r="H23" s="309"/>
      <c r="I23" s="309"/>
      <c r="J23" s="310"/>
    </row>
    <row r="24" spans="1:10" x14ac:dyDescent="0.25">
      <c r="A24" s="311"/>
      <c r="B24" s="312"/>
      <c r="C24" s="312"/>
      <c r="D24" s="312"/>
      <c r="E24" s="312"/>
      <c r="F24" s="312"/>
      <c r="G24" s="312"/>
      <c r="H24" s="312"/>
      <c r="I24" s="312"/>
      <c r="J24" s="313"/>
    </row>
    <row r="25" spans="1:10" ht="15.6" x14ac:dyDescent="0.3">
      <c r="A25" s="629" t="s">
        <v>213</v>
      </c>
      <c r="B25" s="630"/>
      <c r="C25" s="630"/>
      <c r="D25" s="631"/>
      <c r="E25" s="629"/>
      <c r="F25" s="631"/>
      <c r="G25" s="629"/>
      <c r="H25" s="630"/>
      <c r="I25" s="630"/>
      <c r="J25" s="631"/>
    </row>
    <row r="26" spans="1:10" x14ac:dyDescent="0.25">
      <c r="A26" s="634" t="s">
        <v>195</v>
      </c>
      <c r="B26" s="635"/>
      <c r="C26" s="635"/>
      <c r="D26" s="635"/>
      <c r="E26" s="635"/>
      <c r="F26" s="635"/>
      <c r="G26" s="635"/>
      <c r="H26" s="635"/>
      <c r="I26" s="635"/>
      <c r="J26" s="636"/>
    </row>
    <row r="27" spans="1:10" x14ac:dyDescent="0.25">
      <c r="A27" s="637"/>
      <c r="B27" s="638"/>
      <c r="C27" s="638"/>
      <c r="D27" s="638"/>
      <c r="E27" s="638"/>
      <c r="F27" s="638"/>
      <c r="G27" s="638"/>
      <c r="H27" s="638"/>
      <c r="I27" s="638"/>
      <c r="J27" s="639"/>
    </row>
    <row r="28" spans="1:10" x14ac:dyDescent="0.25">
      <c r="A28" s="640"/>
      <c r="B28" s="641"/>
      <c r="C28" s="641"/>
      <c r="D28" s="641"/>
      <c r="E28" s="641"/>
      <c r="F28" s="641"/>
      <c r="G28" s="641"/>
      <c r="H28" s="641"/>
      <c r="I28" s="641"/>
      <c r="J28" s="642"/>
    </row>
    <row r="29" spans="1:10" x14ac:dyDescent="0.25">
      <c r="A29" s="621"/>
      <c r="B29" s="306"/>
      <c r="C29" s="306"/>
      <c r="D29" s="306"/>
      <c r="E29" s="306"/>
      <c r="F29" s="306"/>
      <c r="G29" s="306"/>
      <c r="H29" s="306"/>
      <c r="I29" s="306"/>
      <c r="J29" s="307"/>
    </row>
    <row r="30" spans="1:10" x14ac:dyDescent="0.25">
      <c r="A30" s="308"/>
      <c r="B30" s="309"/>
      <c r="C30" s="309"/>
      <c r="D30" s="309"/>
      <c r="E30" s="309"/>
      <c r="F30" s="309"/>
      <c r="G30" s="309"/>
      <c r="H30" s="309"/>
      <c r="I30" s="309"/>
      <c r="J30" s="310"/>
    </row>
    <row r="31" spans="1:10" x14ac:dyDescent="0.25">
      <c r="A31" s="308"/>
      <c r="B31" s="309"/>
      <c r="C31" s="309"/>
      <c r="D31" s="309"/>
      <c r="E31" s="309"/>
      <c r="F31" s="309"/>
      <c r="G31" s="309"/>
      <c r="H31" s="309"/>
      <c r="I31" s="309"/>
      <c r="J31" s="310"/>
    </row>
    <row r="32" spans="1:10" x14ac:dyDescent="0.25">
      <c r="A32" s="308"/>
      <c r="B32" s="309"/>
      <c r="C32" s="309"/>
      <c r="D32" s="309"/>
      <c r="E32" s="309"/>
      <c r="F32" s="309"/>
      <c r="G32" s="309"/>
      <c r="H32" s="309"/>
      <c r="I32" s="309"/>
      <c r="J32" s="310"/>
    </row>
    <row r="33" spans="1:10" x14ac:dyDescent="0.25">
      <c r="A33" s="308"/>
      <c r="B33" s="309"/>
      <c r="C33" s="309"/>
      <c r="D33" s="309"/>
      <c r="E33" s="309"/>
      <c r="F33" s="309"/>
      <c r="G33" s="309"/>
      <c r="H33" s="309"/>
      <c r="I33" s="309"/>
      <c r="J33" s="310"/>
    </row>
    <row r="34" spans="1:10" x14ac:dyDescent="0.25">
      <c r="A34" s="308"/>
      <c r="B34" s="309"/>
      <c r="C34" s="309"/>
      <c r="D34" s="309"/>
      <c r="E34" s="309"/>
      <c r="F34" s="309"/>
      <c r="G34" s="309"/>
      <c r="H34" s="309"/>
      <c r="I34" s="309"/>
      <c r="J34" s="310"/>
    </row>
    <row r="35" spans="1:10" x14ac:dyDescent="0.25">
      <c r="A35" s="308"/>
      <c r="B35" s="309"/>
      <c r="C35" s="309"/>
      <c r="D35" s="309"/>
      <c r="E35" s="309"/>
      <c r="F35" s="309"/>
      <c r="G35" s="309"/>
      <c r="H35" s="309"/>
      <c r="I35" s="309"/>
      <c r="J35" s="310"/>
    </row>
    <row r="36" spans="1:10" x14ac:dyDescent="0.25">
      <c r="A36" s="308"/>
      <c r="B36" s="309"/>
      <c r="C36" s="309"/>
      <c r="D36" s="309"/>
      <c r="E36" s="309"/>
      <c r="F36" s="309"/>
      <c r="G36" s="309"/>
      <c r="H36" s="309"/>
      <c r="I36" s="309"/>
      <c r="J36" s="310"/>
    </row>
    <row r="37" spans="1:10" x14ac:dyDescent="0.25">
      <c r="A37" s="308"/>
      <c r="B37" s="309"/>
      <c r="C37" s="309"/>
      <c r="D37" s="309"/>
      <c r="E37" s="309"/>
      <c r="F37" s="309"/>
      <c r="G37" s="309"/>
      <c r="H37" s="309"/>
      <c r="I37" s="309"/>
      <c r="J37" s="310"/>
    </row>
    <row r="38" spans="1:10" x14ac:dyDescent="0.25">
      <c r="A38" s="308"/>
      <c r="B38" s="309"/>
      <c r="C38" s="309"/>
      <c r="D38" s="309"/>
      <c r="E38" s="309"/>
      <c r="F38" s="309"/>
      <c r="G38" s="309"/>
      <c r="H38" s="309"/>
      <c r="I38" s="309"/>
      <c r="J38" s="310"/>
    </row>
    <row r="39" spans="1:10" x14ac:dyDescent="0.25">
      <c r="A39" s="308"/>
      <c r="B39" s="309"/>
      <c r="C39" s="309"/>
      <c r="D39" s="309"/>
      <c r="E39" s="309"/>
      <c r="F39" s="309"/>
      <c r="G39" s="309"/>
      <c r="H39" s="309"/>
      <c r="I39" s="309"/>
      <c r="J39" s="310"/>
    </row>
    <row r="40" spans="1:10" x14ac:dyDescent="0.25">
      <c r="A40" s="308"/>
      <c r="B40" s="309"/>
      <c r="C40" s="309"/>
      <c r="D40" s="309"/>
      <c r="E40" s="309"/>
      <c r="F40" s="309"/>
      <c r="G40" s="309"/>
      <c r="H40" s="309"/>
      <c r="I40" s="309"/>
      <c r="J40" s="310"/>
    </row>
    <row r="41" spans="1:10" x14ac:dyDescent="0.25">
      <c r="A41" s="308"/>
      <c r="B41" s="309"/>
      <c r="C41" s="309"/>
      <c r="D41" s="309"/>
      <c r="E41" s="309"/>
      <c r="F41" s="309"/>
      <c r="G41" s="309"/>
      <c r="H41" s="309"/>
      <c r="I41" s="309"/>
      <c r="J41" s="310"/>
    </row>
    <row r="42" spans="1:10" x14ac:dyDescent="0.25">
      <c r="A42" s="308"/>
      <c r="B42" s="309"/>
      <c r="C42" s="309"/>
      <c r="D42" s="309"/>
      <c r="E42" s="309"/>
      <c r="F42" s="309"/>
      <c r="G42" s="309"/>
      <c r="H42" s="309"/>
      <c r="I42" s="309"/>
      <c r="J42" s="310"/>
    </row>
    <row r="43" spans="1:10" x14ac:dyDescent="0.25">
      <c r="A43" s="311"/>
      <c r="B43" s="312"/>
      <c r="C43" s="312"/>
      <c r="D43" s="312"/>
      <c r="E43" s="312"/>
      <c r="F43" s="312"/>
      <c r="G43" s="312"/>
      <c r="H43" s="312"/>
      <c r="I43" s="312"/>
      <c r="J43" s="313"/>
    </row>
    <row r="44" spans="1:10" x14ac:dyDescent="0.25">
      <c r="A44" s="38"/>
      <c r="B44" s="38"/>
      <c r="C44" s="38"/>
      <c r="D44" s="38"/>
      <c r="E44" s="38"/>
      <c r="F44" s="38"/>
      <c r="G44" s="38"/>
      <c r="H44" s="38"/>
      <c r="I44" s="38"/>
      <c r="J44" s="38"/>
    </row>
    <row r="45" spans="1:10" x14ac:dyDescent="0.25">
      <c r="A45" s="38"/>
      <c r="B45" s="38"/>
      <c r="C45" s="38"/>
      <c r="D45" s="38"/>
      <c r="E45" s="38"/>
      <c r="F45" s="38"/>
      <c r="G45" s="38"/>
      <c r="H45" s="38"/>
      <c r="I45" s="38"/>
      <c r="J45" s="38"/>
    </row>
    <row r="46" spans="1:10" x14ac:dyDescent="0.25">
      <c r="A46" s="38"/>
      <c r="B46" s="38"/>
      <c r="C46" s="38"/>
      <c r="D46" s="38"/>
      <c r="E46" s="38"/>
      <c r="F46" s="38"/>
      <c r="G46" s="38"/>
      <c r="H46" s="38"/>
      <c r="I46" s="38"/>
      <c r="J46" s="38"/>
    </row>
    <row r="47" spans="1:10" x14ac:dyDescent="0.25">
      <c r="A47" s="38"/>
      <c r="B47" s="38"/>
      <c r="C47" s="38"/>
      <c r="D47" s="38"/>
      <c r="E47" s="38"/>
      <c r="F47" s="38"/>
      <c r="G47" s="38"/>
      <c r="H47" s="38"/>
      <c r="I47" s="38"/>
      <c r="J47" s="38"/>
    </row>
    <row r="48" spans="1:10" x14ac:dyDescent="0.25">
      <c r="A48" s="38"/>
      <c r="B48" s="38"/>
      <c r="C48" s="38"/>
      <c r="D48" s="38"/>
      <c r="E48" s="38"/>
      <c r="F48" s="38"/>
      <c r="G48" s="38"/>
      <c r="H48" s="38"/>
      <c r="I48" s="38"/>
      <c r="J48" s="38"/>
    </row>
    <row r="49" spans="1:10" x14ac:dyDescent="0.25">
      <c r="A49" s="38"/>
      <c r="B49" s="38"/>
      <c r="C49" s="38"/>
      <c r="D49" s="38"/>
      <c r="E49" s="38"/>
      <c r="F49" s="38"/>
      <c r="G49" s="38"/>
      <c r="H49" s="38"/>
      <c r="I49" s="38"/>
      <c r="J49" s="38"/>
    </row>
    <row r="50" spans="1:10" x14ac:dyDescent="0.25">
      <c r="A50" s="38"/>
      <c r="B50" s="38"/>
      <c r="C50" s="38"/>
      <c r="D50" s="38"/>
      <c r="E50" s="38"/>
      <c r="F50" s="38"/>
      <c r="G50" s="38"/>
      <c r="H50" s="38"/>
      <c r="I50" s="38"/>
      <c r="J50" s="38"/>
    </row>
    <row r="51" spans="1:10" x14ac:dyDescent="0.25">
      <c r="A51" s="38"/>
      <c r="B51" s="38"/>
      <c r="C51" s="38"/>
      <c r="D51" s="38"/>
      <c r="E51" s="38"/>
      <c r="F51" s="38"/>
      <c r="G51" s="38"/>
      <c r="H51" s="38"/>
      <c r="I51" s="38"/>
      <c r="J51" s="38"/>
    </row>
    <row r="52" spans="1:10" x14ac:dyDescent="0.25">
      <c r="A52" s="39"/>
      <c r="B52" s="39"/>
      <c r="C52" s="39"/>
      <c r="D52" s="39"/>
      <c r="E52" s="39"/>
      <c r="F52" s="39"/>
      <c r="G52" s="39"/>
      <c r="H52" s="39"/>
      <c r="I52" s="39"/>
      <c r="J52" s="39"/>
    </row>
    <row r="53" spans="1:10" x14ac:dyDescent="0.25">
      <c r="A53" s="643" t="s">
        <v>403</v>
      </c>
      <c r="B53" s="643"/>
      <c r="C53" s="643"/>
      <c r="D53" s="643"/>
      <c r="E53" s="643"/>
      <c r="F53" s="643"/>
      <c r="G53" s="643"/>
      <c r="H53" s="643"/>
      <c r="I53" s="643"/>
      <c r="J53" s="643"/>
    </row>
    <row r="54" spans="1:10" x14ac:dyDescent="0.25">
      <c r="A54" s="644" t="s">
        <v>404</v>
      </c>
      <c r="B54" s="644"/>
      <c r="C54" s="644"/>
      <c r="D54" s="644"/>
      <c r="E54" s="644"/>
      <c r="F54" s="644"/>
      <c r="G54" s="644"/>
      <c r="H54" s="644"/>
      <c r="I54" s="644"/>
      <c r="J54" s="644"/>
    </row>
    <row r="55" spans="1:10" x14ac:dyDescent="0.25">
      <c r="A55" s="39"/>
      <c r="B55" s="39"/>
      <c r="C55" s="39"/>
      <c r="D55" s="39"/>
      <c r="E55" s="39"/>
      <c r="F55" s="39"/>
      <c r="G55" s="39"/>
      <c r="H55" s="39"/>
      <c r="I55" s="39"/>
      <c r="J55" s="39"/>
    </row>
    <row r="56" spans="1:10" x14ac:dyDescent="0.25">
      <c r="A56" s="602" t="s">
        <v>325</v>
      </c>
      <c r="B56" s="602"/>
      <c r="C56" s="602"/>
      <c r="D56" s="602"/>
      <c r="E56" s="632" t="str">
        <f>County</f>
        <v>Alameda</v>
      </c>
      <c r="F56" s="632"/>
      <c r="G56" s="632"/>
      <c r="H56" s="632"/>
      <c r="I56" s="39"/>
      <c r="J56" s="39"/>
    </row>
    <row r="57" spans="1:10" x14ac:dyDescent="0.25">
      <c r="A57" s="39"/>
      <c r="B57" s="39"/>
      <c r="C57" s="39"/>
      <c r="D57" s="39"/>
      <c r="E57" s="39"/>
      <c r="F57" s="39"/>
      <c r="G57" s="39"/>
      <c r="H57" s="39"/>
      <c r="I57" s="39"/>
      <c r="J57" s="39"/>
    </row>
  </sheetData>
  <sheetProtection password="CB13" sheet="1" objects="1" scenarios="1"/>
  <mergeCells count="14">
    <mergeCell ref="E56:H56"/>
    <mergeCell ref="A8:J8"/>
    <mergeCell ref="A26:J28"/>
    <mergeCell ref="A53:J53"/>
    <mergeCell ref="A54:J54"/>
    <mergeCell ref="A9:J24"/>
    <mergeCell ref="A29:J43"/>
    <mergeCell ref="A56:D56"/>
    <mergeCell ref="A5:J5"/>
    <mergeCell ref="A25:J25"/>
    <mergeCell ref="A1:J1"/>
    <mergeCell ref="A2:J2"/>
    <mergeCell ref="A3:J3"/>
    <mergeCell ref="A4:J4"/>
  </mergeCells>
  <phoneticPr fontId="2" type="noConversion"/>
  <dataValidations count="2">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9:J24 A29:J43" xr:uid="{00000000-0002-0000-0B00-000000000000}"/>
    <dataValidation type="list" allowBlank="1" showInputMessage="1" showErrorMessage="1" prompt="Use drop down list to select &quot;Yes&quot; or &quot;No.&quot;" sqref="I6:I7" xr:uid="{00000000-0002-0000-0B00-000001000000}">
      <formula1>YESNO</formula1>
    </dataValidation>
  </dataValidations>
  <printOptions horizontalCentered="1"/>
  <pageMargins left="0.5" right="0.5" top="0.5" bottom="0.5" header="0.5" footer="0.25"/>
  <pageSetup firstPageNumber="17" orientation="portrait" useFirstPageNumber="1" horizontalDpi="300" verticalDpi="300" r:id="rId1"/>
  <headerFooter alignWithMargins="0">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1"/>
  <dimension ref="A1:B225"/>
  <sheetViews>
    <sheetView topLeftCell="A172" workbookViewId="0">
      <selection activeCell="H26" sqref="H26:I26"/>
    </sheetView>
  </sheetViews>
  <sheetFormatPr defaultRowHeight="13.2" x14ac:dyDescent="0.25"/>
  <cols>
    <col min="1" max="1" width="43.44140625" customWidth="1"/>
    <col min="2" max="2" width="21.6640625" customWidth="1"/>
  </cols>
  <sheetData>
    <row r="1" spans="1:2" x14ac:dyDescent="0.25">
      <c r="A1" t="s">
        <v>539</v>
      </c>
      <c r="B1" s="23" t="str">
        <f>County</f>
        <v>Alameda</v>
      </c>
    </row>
    <row r="2" spans="1:2" x14ac:dyDescent="0.25">
      <c r="A2" t="s">
        <v>541</v>
      </c>
      <c r="B2" s="25">
        <f>Reportdate</f>
        <v>44468</v>
      </c>
    </row>
    <row r="3" spans="1:2" x14ac:dyDescent="0.25">
      <c r="A3" t="s">
        <v>542</v>
      </c>
      <c r="B3" s="24" t="e">
        <f>Chief</f>
        <v>#REF!</v>
      </c>
    </row>
    <row r="4" spans="1:2" x14ac:dyDescent="0.25">
      <c r="A4" t="s">
        <v>543</v>
      </c>
      <c r="B4" t="e">
        <f>Chiefphone2</f>
        <v>#REF!</v>
      </c>
    </row>
    <row r="5" spans="1:2" x14ac:dyDescent="0.25">
      <c r="A5" t="s">
        <v>540</v>
      </c>
      <c r="B5" s="10" t="e">
        <f>Address</f>
        <v>#REF!</v>
      </c>
    </row>
    <row r="6" spans="1:2" x14ac:dyDescent="0.25">
      <c r="A6" t="s">
        <v>544</v>
      </c>
      <c r="B6" s="10" t="e">
        <f>City</f>
        <v>#REF!</v>
      </c>
    </row>
    <row r="7" spans="1:2" x14ac:dyDescent="0.25">
      <c r="A7" t="s">
        <v>546</v>
      </c>
      <c r="B7" s="9" t="e">
        <f>ZIP</f>
        <v>#REF!</v>
      </c>
    </row>
    <row r="8" spans="1:2" x14ac:dyDescent="0.25">
      <c r="A8" t="s">
        <v>545</v>
      </c>
      <c r="B8" s="10" t="e">
        <f>Chiefemail2</f>
        <v>#REF!</v>
      </c>
    </row>
    <row r="9" spans="1:2" x14ac:dyDescent="0.25">
      <c r="A9" t="s">
        <v>192</v>
      </c>
      <c r="B9" t="str">
        <f>primcontact</f>
        <v>Marcus Dawal</v>
      </c>
    </row>
    <row r="10" spans="1:2" x14ac:dyDescent="0.25">
      <c r="A10" t="s">
        <v>218</v>
      </c>
      <c r="B10" t="str">
        <f>primarytitle</f>
        <v>Interim Chief Probation Officer</v>
      </c>
    </row>
    <row r="11" spans="1:2" x14ac:dyDescent="0.25">
      <c r="A11" t="s">
        <v>217</v>
      </c>
      <c r="B11" t="str">
        <f>primphone</f>
        <v>510-268-7233</v>
      </c>
    </row>
    <row r="12" spans="1:2" x14ac:dyDescent="0.25">
      <c r="A12" t="s">
        <v>193</v>
      </c>
      <c r="B12" s="10" t="str">
        <f>preemail</f>
        <v>mdawal@acgov.org</v>
      </c>
    </row>
    <row r="13" spans="1:2" x14ac:dyDescent="0.25">
      <c r="A13" t="s">
        <v>365</v>
      </c>
      <c r="B13" t="str">
        <f>seccontact</f>
        <v>Brian Ford</v>
      </c>
    </row>
    <row r="14" spans="1:2" x14ac:dyDescent="0.25">
      <c r="A14" t="s">
        <v>366</v>
      </c>
      <c r="B14" t="str">
        <f>seccontitle</f>
        <v xml:space="preserve">Assistant Chief </v>
      </c>
    </row>
    <row r="15" spans="1:2" x14ac:dyDescent="0.25">
      <c r="A15" t="s">
        <v>367</v>
      </c>
      <c r="B15" t="str">
        <f>secphone</f>
        <v>510-268-7228</v>
      </c>
    </row>
    <row r="16" spans="1:2" x14ac:dyDescent="0.25">
      <c r="A16" t="s">
        <v>368</v>
      </c>
      <c r="B16" t="str">
        <f>secemail</f>
        <v>brford@acgov.org</v>
      </c>
    </row>
    <row r="17" spans="1:2" x14ac:dyDescent="0.25">
      <c r="A17" t="s">
        <v>264</v>
      </c>
      <c r="B17" t="e">
        <f>t1yobgtot+t2yobgtot+t3yobgtot+t4yobgtot+t5yobgtot+t6yobgtot+t7yobgtot+t8yobgtot+t9yobgtot+t10yobgtot</f>
        <v>#REF!</v>
      </c>
    </row>
    <row r="18" spans="1:2" x14ac:dyDescent="0.25">
      <c r="A18" t="s">
        <v>265</v>
      </c>
      <c r="B18" t="e">
        <f>t1jjcpatot+t2jjcpatot+t3jjcpatot+t4jjcpatot+t5jjcpatot+t6jjcpatot+t7jjcpatot+t8jjcpatot+t9jjcpatot+t10jjcpatot</f>
        <v>#REF!</v>
      </c>
    </row>
    <row r="19" spans="1:2" x14ac:dyDescent="0.25">
      <c r="A19" t="s">
        <v>266</v>
      </c>
      <c r="B19" t="e">
        <f>t1othertot+t2othertot+t3othertot+t4othertot+t5othertot+t6othertot+t7othertot+t8othertot+t9othertot+t10othertot</f>
        <v>#REF!</v>
      </c>
    </row>
    <row r="20" spans="1:2" x14ac:dyDescent="0.25">
      <c r="A20" t="s">
        <v>116</v>
      </c>
      <c r="B20" t="e">
        <f>t1casecount+t2casecount+t3casecount+t4casecount+t5casecount+t6casecount+t7casecount+t8casecount+t9casecount+t10casecount</f>
        <v>#REF!</v>
      </c>
    </row>
    <row r="21" spans="1:2" x14ac:dyDescent="0.25">
      <c r="A21" t="s">
        <v>585</v>
      </c>
      <c r="B21" s="10" t="e">
        <f>Numecodet1</f>
        <v>#REF!</v>
      </c>
    </row>
    <row r="22" spans="1:2" x14ac:dyDescent="0.25">
      <c r="A22" t="s">
        <v>586</v>
      </c>
      <c r="B22" s="10" t="e">
        <f>Numealtt1</f>
        <v>#REF!</v>
      </c>
    </row>
    <row r="23" spans="1:2" x14ac:dyDescent="0.25">
      <c r="A23" t="s">
        <v>547</v>
      </c>
      <c r="B23" s="11">
        <f>t1yobgsal</f>
        <v>3251875</v>
      </c>
    </row>
    <row r="24" spans="1:2" x14ac:dyDescent="0.25">
      <c r="A24" t="s">
        <v>548</v>
      </c>
      <c r="B24" s="11">
        <f>t1yobgserv</f>
        <v>147508</v>
      </c>
    </row>
    <row r="25" spans="1:2" x14ac:dyDescent="0.25">
      <c r="A25" t="s">
        <v>549</v>
      </c>
      <c r="B25" s="11">
        <f>t1yobgprof</f>
        <v>0</v>
      </c>
    </row>
    <row r="26" spans="1:2" x14ac:dyDescent="0.25">
      <c r="A26" t="s">
        <v>550</v>
      </c>
      <c r="B26" s="11">
        <f>t1yobgcbo</f>
        <v>0</v>
      </c>
    </row>
    <row r="27" spans="1:2" x14ac:dyDescent="0.25">
      <c r="A27" t="s">
        <v>551</v>
      </c>
      <c r="B27" s="11">
        <f>t1yobgequip</f>
        <v>0</v>
      </c>
    </row>
    <row r="28" spans="1:2" x14ac:dyDescent="0.25">
      <c r="A28" t="s">
        <v>552</v>
      </c>
      <c r="B28" s="11">
        <f>t1yobgadmin</f>
        <v>27684</v>
      </c>
    </row>
    <row r="29" spans="1:2" x14ac:dyDescent="0.25">
      <c r="A29" t="s">
        <v>553</v>
      </c>
      <c r="B29" s="11">
        <f>t1yobgothr1</f>
        <v>67939</v>
      </c>
    </row>
    <row r="30" spans="1:2" x14ac:dyDescent="0.25">
      <c r="A30" t="s">
        <v>554</v>
      </c>
      <c r="B30" s="11">
        <f>t1yobgothr2</f>
        <v>0</v>
      </c>
    </row>
    <row r="31" spans="1:2" x14ac:dyDescent="0.25">
      <c r="A31" t="s">
        <v>582</v>
      </c>
      <c r="B31" s="11">
        <f>t1yobgothr3</f>
        <v>0</v>
      </c>
    </row>
    <row r="32" spans="1:2" x14ac:dyDescent="0.25">
      <c r="A32" t="s">
        <v>555</v>
      </c>
      <c r="B32" s="11">
        <f>t1yobgtot</f>
        <v>3495006</v>
      </c>
    </row>
    <row r="33" spans="1:2" x14ac:dyDescent="0.25">
      <c r="A33" t="s">
        <v>556</v>
      </c>
      <c r="B33" s="11">
        <f>t1jjcpasal</f>
        <v>0</v>
      </c>
    </row>
    <row r="34" spans="1:2" x14ac:dyDescent="0.25">
      <c r="A34" t="s">
        <v>557</v>
      </c>
      <c r="B34" s="11">
        <f>t1jjcpaserv</f>
        <v>0</v>
      </c>
    </row>
    <row r="35" spans="1:2" x14ac:dyDescent="0.25">
      <c r="A35" t="s">
        <v>558</v>
      </c>
      <c r="B35" s="11">
        <f>t1jjcpaprof</f>
        <v>0</v>
      </c>
    </row>
    <row r="36" spans="1:2" x14ac:dyDescent="0.25">
      <c r="A36" t="s">
        <v>559</v>
      </c>
      <c r="B36" s="11">
        <f>t1jjcpacbo</f>
        <v>0</v>
      </c>
    </row>
    <row r="37" spans="1:2" x14ac:dyDescent="0.25">
      <c r="A37" t="s">
        <v>560</v>
      </c>
      <c r="B37" s="11">
        <f>t1jjcpaequip</f>
        <v>0</v>
      </c>
    </row>
    <row r="38" spans="1:2" x14ac:dyDescent="0.25">
      <c r="A38" t="s">
        <v>561</v>
      </c>
      <c r="B38" s="11">
        <f>t1jjcpaadmin</f>
        <v>0</v>
      </c>
    </row>
    <row r="39" spans="1:2" x14ac:dyDescent="0.25">
      <c r="A39" t="s">
        <v>562</v>
      </c>
      <c r="B39" s="11">
        <f>t1jjcpaothr1</f>
        <v>0</v>
      </c>
    </row>
    <row r="40" spans="1:2" x14ac:dyDescent="0.25">
      <c r="A40" t="s">
        <v>563</v>
      </c>
      <c r="B40" s="11">
        <f>t1jjcpaothr2</f>
        <v>0</v>
      </c>
    </row>
    <row r="41" spans="1:2" x14ac:dyDescent="0.25">
      <c r="A41" t="s">
        <v>583</v>
      </c>
      <c r="B41" s="11">
        <f>t1jjcpaothr3</f>
        <v>0</v>
      </c>
    </row>
    <row r="42" spans="1:2" x14ac:dyDescent="0.25">
      <c r="A42" t="s">
        <v>564</v>
      </c>
      <c r="B42" s="11">
        <f>t1jjcpatot</f>
        <v>0</v>
      </c>
    </row>
    <row r="43" spans="1:2" x14ac:dyDescent="0.25">
      <c r="A43" t="s">
        <v>565</v>
      </c>
      <c r="B43" s="11">
        <f>t1othersal</f>
        <v>0</v>
      </c>
    </row>
    <row r="44" spans="1:2" x14ac:dyDescent="0.25">
      <c r="A44" t="s">
        <v>566</v>
      </c>
      <c r="B44" s="11">
        <f>t1otherserv</f>
        <v>0</v>
      </c>
    </row>
    <row r="45" spans="1:2" x14ac:dyDescent="0.25">
      <c r="A45" t="s">
        <v>567</v>
      </c>
      <c r="B45" s="11">
        <f>t1otherprof</f>
        <v>0</v>
      </c>
    </row>
    <row r="46" spans="1:2" x14ac:dyDescent="0.25">
      <c r="A46" t="s">
        <v>568</v>
      </c>
      <c r="B46" s="11">
        <f>t1othercbo</f>
        <v>0</v>
      </c>
    </row>
    <row r="47" spans="1:2" x14ac:dyDescent="0.25">
      <c r="A47" t="s">
        <v>569</v>
      </c>
      <c r="B47" s="11">
        <f>t1otherequip</f>
        <v>0</v>
      </c>
    </row>
    <row r="48" spans="1:2" x14ac:dyDescent="0.25">
      <c r="A48" t="s">
        <v>570</v>
      </c>
      <c r="B48" s="11">
        <f>t1otheradmin</f>
        <v>0</v>
      </c>
    </row>
    <row r="49" spans="1:2" x14ac:dyDescent="0.25">
      <c r="A49" t="s">
        <v>571</v>
      </c>
      <c r="B49" s="11">
        <f>t1otherothr1</f>
        <v>156846</v>
      </c>
    </row>
    <row r="50" spans="1:2" x14ac:dyDescent="0.25">
      <c r="A50" t="s">
        <v>572</v>
      </c>
      <c r="B50" s="11">
        <f>t1otherothr2</f>
        <v>0</v>
      </c>
    </row>
    <row r="51" spans="1:2" x14ac:dyDescent="0.25">
      <c r="A51" t="s">
        <v>584</v>
      </c>
      <c r="B51" s="11">
        <f>t1otherothr3</f>
        <v>0</v>
      </c>
    </row>
    <row r="52" spans="1:2" x14ac:dyDescent="0.25">
      <c r="A52" t="s">
        <v>573</v>
      </c>
      <c r="B52" s="11">
        <f>t1othertot</f>
        <v>156846</v>
      </c>
    </row>
    <row r="53" spans="1:2" x14ac:dyDescent="0.25">
      <c r="A53" t="s">
        <v>574</v>
      </c>
      <c r="B53" s="9" t="e">
        <f>t1casecount</f>
        <v>#REF!</v>
      </c>
    </row>
    <row r="54" spans="1:2" x14ac:dyDescent="0.25">
      <c r="A54" t="s">
        <v>575</v>
      </c>
      <c r="B54" s="12" t="e">
        <f>t1yobgpercap</f>
        <v>#REF!</v>
      </c>
    </row>
    <row r="55" spans="1:2" x14ac:dyDescent="0.25">
      <c r="A55" t="s">
        <v>576</v>
      </c>
      <c r="B55" s="12" t="e">
        <f>t1totpercap</f>
        <v>#REF!</v>
      </c>
    </row>
    <row r="56" spans="1:2" x14ac:dyDescent="0.25">
      <c r="A56" t="s">
        <v>578</v>
      </c>
      <c r="B56" s="9" t="e">
        <f>t1youth1</f>
        <v>#REF!</v>
      </c>
    </row>
    <row r="57" spans="1:2" x14ac:dyDescent="0.25">
      <c r="A57" t="s">
        <v>579</v>
      </c>
      <c r="B57" s="9" t="e">
        <f>t1youth2</f>
        <v>#REF!</v>
      </c>
    </row>
    <row r="58" spans="1:2" x14ac:dyDescent="0.25">
      <c r="A58" t="s">
        <v>580</v>
      </c>
      <c r="B58" s="9" t="e">
        <f>t1youth3</f>
        <v>#REF!</v>
      </c>
    </row>
    <row r="59" spans="1:2" x14ac:dyDescent="0.25">
      <c r="A59" t="s">
        <v>581</v>
      </c>
      <c r="B59" s="9" t="e">
        <f>t1youth4</f>
        <v>#REF!</v>
      </c>
    </row>
    <row r="60" spans="1:2" x14ac:dyDescent="0.25">
      <c r="A60" t="s">
        <v>219</v>
      </c>
      <c r="B60" s="9" t="e">
        <f>t1youth5</f>
        <v>#REF!</v>
      </c>
    </row>
    <row r="61" spans="1:2" x14ac:dyDescent="0.25">
      <c r="A61" t="s">
        <v>220</v>
      </c>
      <c r="B61" s="9" t="e">
        <f>t1youth6</f>
        <v>#REF!</v>
      </c>
    </row>
    <row r="62" spans="1:2" x14ac:dyDescent="0.25">
      <c r="A62" t="s">
        <v>587</v>
      </c>
      <c r="B62" s="13" t="e">
        <f>Numecodet2</f>
        <v>#REF!</v>
      </c>
    </row>
    <row r="63" spans="1:2" x14ac:dyDescent="0.25">
      <c r="A63" t="s">
        <v>588</v>
      </c>
      <c r="B63" s="10" t="e">
        <f>Numealtt2</f>
        <v>#REF!</v>
      </c>
    </row>
    <row r="64" spans="1:2" x14ac:dyDescent="0.25">
      <c r="A64" t="s">
        <v>589</v>
      </c>
      <c r="B64" s="11" t="e">
        <f>t2yobgsal</f>
        <v>#REF!</v>
      </c>
    </row>
    <row r="65" spans="1:2" x14ac:dyDescent="0.25">
      <c r="A65" t="s">
        <v>590</v>
      </c>
      <c r="B65" s="11" t="e">
        <f>t2yobgserv</f>
        <v>#REF!</v>
      </c>
    </row>
    <row r="66" spans="1:2" x14ac:dyDescent="0.25">
      <c r="A66" t="s">
        <v>591</v>
      </c>
      <c r="B66" s="11" t="e">
        <f>t2yobgprof</f>
        <v>#REF!</v>
      </c>
    </row>
    <row r="67" spans="1:2" x14ac:dyDescent="0.25">
      <c r="A67" t="s">
        <v>592</v>
      </c>
      <c r="B67" s="11" t="e">
        <f>t2yobgcbo</f>
        <v>#REF!</v>
      </c>
    </row>
    <row r="68" spans="1:2" x14ac:dyDescent="0.25">
      <c r="A68" t="s">
        <v>593</v>
      </c>
      <c r="B68" s="11" t="e">
        <f>t2yobgequip</f>
        <v>#REF!</v>
      </c>
    </row>
    <row r="69" spans="1:2" x14ac:dyDescent="0.25">
      <c r="A69" t="s">
        <v>594</v>
      </c>
      <c r="B69" s="11" t="e">
        <f>t2yobgadmin</f>
        <v>#REF!</v>
      </c>
    </row>
    <row r="70" spans="1:2" x14ac:dyDescent="0.25">
      <c r="A70" t="s">
        <v>595</v>
      </c>
      <c r="B70" s="11" t="e">
        <f>t2yobgothr1</f>
        <v>#REF!</v>
      </c>
    </row>
    <row r="71" spans="1:2" x14ac:dyDescent="0.25">
      <c r="A71" t="s">
        <v>596</v>
      </c>
      <c r="B71" s="11" t="e">
        <f>t2yobgothr2</f>
        <v>#REF!</v>
      </c>
    </row>
    <row r="72" spans="1:2" x14ac:dyDescent="0.25">
      <c r="A72" t="s">
        <v>597</v>
      </c>
      <c r="B72" s="11" t="e">
        <f>t2yobgothr3</f>
        <v>#REF!</v>
      </c>
    </row>
    <row r="73" spans="1:2" x14ac:dyDescent="0.25">
      <c r="A73" t="s">
        <v>598</v>
      </c>
      <c r="B73" s="11" t="e">
        <f>t2yobgtot</f>
        <v>#REF!</v>
      </c>
    </row>
    <row r="74" spans="1:2" x14ac:dyDescent="0.25">
      <c r="A74" t="s">
        <v>599</v>
      </c>
      <c r="B74" s="11" t="e">
        <f>t2jjcpasal</f>
        <v>#REF!</v>
      </c>
    </row>
    <row r="75" spans="1:2" x14ac:dyDescent="0.25">
      <c r="A75" t="s">
        <v>600</v>
      </c>
      <c r="B75" s="11" t="e">
        <f>t2jjcpaserv</f>
        <v>#REF!</v>
      </c>
    </row>
    <row r="76" spans="1:2" x14ac:dyDescent="0.25">
      <c r="A76" t="s">
        <v>601</v>
      </c>
      <c r="B76" s="11" t="e">
        <f>t2jjcpaprof</f>
        <v>#REF!</v>
      </c>
    </row>
    <row r="77" spans="1:2" x14ac:dyDescent="0.25">
      <c r="A77" t="s">
        <v>602</v>
      </c>
      <c r="B77" s="11" t="e">
        <f>t2jjcpacbo</f>
        <v>#REF!</v>
      </c>
    </row>
    <row r="78" spans="1:2" x14ac:dyDescent="0.25">
      <c r="A78" t="s">
        <v>603</v>
      </c>
      <c r="B78" s="11" t="e">
        <f>t2jjcpaequip</f>
        <v>#REF!</v>
      </c>
    </row>
    <row r="79" spans="1:2" x14ac:dyDescent="0.25">
      <c r="A79" t="s">
        <v>604</v>
      </c>
      <c r="B79" s="11" t="e">
        <f>t2jjcpaadmin</f>
        <v>#REF!</v>
      </c>
    </row>
    <row r="80" spans="1:2" x14ac:dyDescent="0.25">
      <c r="A80" t="s">
        <v>605</v>
      </c>
      <c r="B80" s="11" t="e">
        <f>t2jjcpaothr1</f>
        <v>#REF!</v>
      </c>
    </row>
    <row r="81" spans="1:2" x14ac:dyDescent="0.25">
      <c r="A81" t="s">
        <v>606</v>
      </c>
      <c r="B81" s="11" t="e">
        <f>t2jjcpaothr2</f>
        <v>#REF!</v>
      </c>
    </row>
    <row r="82" spans="1:2" x14ac:dyDescent="0.25">
      <c r="A82" t="s">
        <v>607</v>
      </c>
      <c r="B82" s="11" t="e">
        <f>t2jjcpaothr3</f>
        <v>#REF!</v>
      </c>
    </row>
    <row r="83" spans="1:2" x14ac:dyDescent="0.25">
      <c r="A83" t="s">
        <v>608</v>
      </c>
      <c r="B83" s="11" t="e">
        <f>t2jjcpatot</f>
        <v>#REF!</v>
      </c>
    </row>
    <row r="84" spans="1:2" x14ac:dyDescent="0.25">
      <c r="A84" t="s">
        <v>609</v>
      </c>
      <c r="B84" s="11" t="e">
        <f>t2othersal</f>
        <v>#REF!</v>
      </c>
    </row>
    <row r="85" spans="1:2" x14ac:dyDescent="0.25">
      <c r="A85" t="s">
        <v>610</v>
      </c>
      <c r="B85" s="11" t="e">
        <f>t2otherserv</f>
        <v>#REF!</v>
      </c>
    </row>
    <row r="86" spans="1:2" x14ac:dyDescent="0.25">
      <c r="A86" t="s">
        <v>611</v>
      </c>
      <c r="B86" s="11" t="e">
        <f>t2otherprof</f>
        <v>#REF!</v>
      </c>
    </row>
    <row r="87" spans="1:2" x14ac:dyDescent="0.25">
      <c r="A87" t="s">
        <v>612</v>
      </c>
      <c r="B87" s="11" t="e">
        <f>t2othercbo</f>
        <v>#REF!</v>
      </c>
    </row>
    <row r="88" spans="1:2" x14ac:dyDescent="0.25">
      <c r="A88" t="s">
        <v>613</v>
      </c>
      <c r="B88" s="11" t="e">
        <f>t2otherequip</f>
        <v>#REF!</v>
      </c>
    </row>
    <row r="89" spans="1:2" x14ac:dyDescent="0.25">
      <c r="A89" t="s">
        <v>614</v>
      </c>
      <c r="B89" s="11" t="e">
        <f>t2otheradmin</f>
        <v>#REF!</v>
      </c>
    </row>
    <row r="90" spans="1:2" x14ac:dyDescent="0.25">
      <c r="A90" t="s">
        <v>615</v>
      </c>
      <c r="B90" s="11" t="e">
        <f>t2otherothr1</f>
        <v>#REF!</v>
      </c>
    </row>
    <row r="91" spans="1:2" x14ac:dyDescent="0.25">
      <c r="A91" t="s">
        <v>616</v>
      </c>
      <c r="B91" s="11" t="e">
        <f>t2otherothr2</f>
        <v>#REF!</v>
      </c>
    </row>
    <row r="92" spans="1:2" x14ac:dyDescent="0.25">
      <c r="A92" t="s">
        <v>617</v>
      </c>
      <c r="B92" s="11" t="e">
        <f>t2otherothr3</f>
        <v>#REF!</v>
      </c>
    </row>
    <row r="93" spans="1:2" x14ac:dyDescent="0.25">
      <c r="A93" t="s">
        <v>618</v>
      </c>
      <c r="B93" s="11" t="e">
        <f>t2othertot</f>
        <v>#REF!</v>
      </c>
    </row>
    <row r="94" spans="1:2" x14ac:dyDescent="0.25">
      <c r="A94" t="s">
        <v>619</v>
      </c>
      <c r="B94" s="9" t="e">
        <f>t2casecount</f>
        <v>#REF!</v>
      </c>
    </row>
    <row r="95" spans="1:2" x14ac:dyDescent="0.25">
      <c r="A95" t="s">
        <v>620</v>
      </c>
      <c r="B95" s="12" t="e">
        <f>t2yobgpercap</f>
        <v>#REF!</v>
      </c>
    </row>
    <row r="96" spans="1:2" x14ac:dyDescent="0.25">
      <c r="A96" t="s">
        <v>621</v>
      </c>
      <c r="B96" s="12" t="e">
        <f>t2totpercap</f>
        <v>#REF!</v>
      </c>
    </row>
    <row r="97" spans="1:2" x14ac:dyDescent="0.25">
      <c r="A97" t="s">
        <v>622</v>
      </c>
      <c r="B97" s="9" t="e">
        <f>t2youth1</f>
        <v>#REF!</v>
      </c>
    </row>
    <row r="98" spans="1:2" x14ac:dyDescent="0.25">
      <c r="A98" t="s">
        <v>623</v>
      </c>
      <c r="B98" s="9" t="e">
        <f>t2youth2</f>
        <v>#REF!</v>
      </c>
    </row>
    <row r="99" spans="1:2" x14ac:dyDescent="0.25">
      <c r="A99" t="s">
        <v>624</v>
      </c>
      <c r="B99" s="9" t="e">
        <f>t2youth3</f>
        <v>#REF!</v>
      </c>
    </row>
    <row r="100" spans="1:2" x14ac:dyDescent="0.25">
      <c r="A100" t="s">
        <v>625</v>
      </c>
      <c r="B100" s="9" t="e">
        <f>t2youth4</f>
        <v>#REF!</v>
      </c>
    </row>
    <row r="101" spans="1:2" x14ac:dyDescent="0.25">
      <c r="A101" t="s">
        <v>221</v>
      </c>
      <c r="B101" s="9" t="e">
        <f>t2youth5</f>
        <v>#REF!</v>
      </c>
    </row>
    <row r="102" spans="1:2" x14ac:dyDescent="0.25">
      <c r="A102" t="s">
        <v>222</v>
      </c>
      <c r="B102" s="9" t="e">
        <f>t2youth6</f>
        <v>#REF!</v>
      </c>
    </row>
    <row r="103" spans="1:2" x14ac:dyDescent="0.25">
      <c r="A103" t="s">
        <v>626</v>
      </c>
      <c r="B103" s="13" t="e">
        <f>Numecodet3</f>
        <v>#REF!</v>
      </c>
    </row>
    <row r="104" spans="1:2" x14ac:dyDescent="0.25">
      <c r="A104" t="s">
        <v>627</v>
      </c>
      <c r="B104" s="10" t="e">
        <f>Numealtt3</f>
        <v>#REF!</v>
      </c>
    </row>
    <row r="105" spans="1:2" x14ac:dyDescent="0.25">
      <c r="A105" t="s">
        <v>628</v>
      </c>
      <c r="B105" s="11" t="e">
        <f>t3yobgsal</f>
        <v>#REF!</v>
      </c>
    </row>
    <row r="106" spans="1:2" x14ac:dyDescent="0.25">
      <c r="A106" t="s">
        <v>629</v>
      </c>
      <c r="B106" s="11" t="e">
        <f>t3yobgserv</f>
        <v>#REF!</v>
      </c>
    </row>
    <row r="107" spans="1:2" x14ac:dyDescent="0.25">
      <c r="A107" t="s">
        <v>630</v>
      </c>
      <c r="B107" s="11" t="e">
        <f>t3yobgprof</f>
        <v>#REF!</v>
      </c>
    </row>
    <row r="108" spans="1:2" x14ac:dyDescent="0.25">
      <c r="A108" t="s">
        <v>631</v>
      </c>
      <c r="B108" s="11" t="e">
        <f>t3yobgcbo</f>
        <v>#REF!</v>
      </c>
    </row>
    <row r="109" spans="1:2" x14ac:dyDescent="0.25">
      <c r="A109" t="s">
        <v>632</v>
      </c>
      <c r="B109" s="11" t="e">
        <f>t3yobgequip</f>
        <v>#REF!</v>
      </c>
    </row>
    <row r="110" spans="1:2" x14ac:dyDescent="0.25">
      <c r="A110" t="s">
        <v>633</v>
      </c>
      <c r="B110" s="11" t="e">
        <f>t3yobgadmin</f>
        <v>#REF!</v>
      </c>
    </row>
    <row r="111" spans="1:2" x14ac:dyDescent="0.25">
      <c r="A111" t="s">
        <v>634</v>
      </c>
      <c r="B111" s="11" t="e">
        <f>t3yobgothr1</f>
        <v>#REF!</v>
      </c>
    </row>
    <row r="112" spans="1:2" x14ac:dyDescent="0.25">
      <c r="A112" t="s">
        <v>635</v>
      </c>
      <c r="B112" s="11" t="e">
        <f>t3yobgothr2</f>
        <v>#REF!</v>
      </c>
    </row>
    <row r="113" spans="1:2" x14ac:dyDescent="0.25">
      <c r="A113" t="s">
        <v>636</v>
      </c>
      <c r="B113" s="11" t="e">
        <f>t3yobgothr3</f>
        <v>#REF!</v>
      </c>
    </row>
    <row r="114" spans="1:2" x14ac:dyDescent="0.25">
      <c r="A114" t="s">
        <v>637</v>
      </c>
      <c r="B114" s="11" t="e">
        <f>t3yobgtot</f>
        <v>#REF!</v>
      </c>
    </row>
    <row r="115" spans="1:2" x14ac:dyDescent="0.25">
      <c r="A115" t="s">
        <v>638</v>
      </c>
      <c r="B115" s="11" t="e">
        <f>t3jjcpasal</f>
        <v>#REF!</v>
      </c>
    </row>
    <row r="116" spans="1:2" x14ac:dyDescent="0.25">
      <c r="A116" t="s">
        <v>639</v>
      </c>
      <c r="B116" s="11" t="e">
        <f>t3jjcpaserv</f>
        <v>#REF!</v>
      </c>
    </row>
    <row r="117" spans="1:2" x14ac:dyDescent="0.25">
      <c r="A117" t="s">
        <v>640</v>
      </c>
      <c r="B117" s="11" t="e">
        <f>t3jjcpaprof</f>
        <v>#REF!</v>
      </c>
    </row>
    <row r="118" spans="1:2" x14ac:dyDescent="0.25">
      <c r="A118" t="s">
        <v>641</v>
      </c>
      <c r="B118" s="11" t="e">
        <f>t3jjcpacbo</f>
        <v>#REF!</v>
      </c>
    </row>
    <row r="119" spans="1:2" x14ac:dyDescent="0.25">
      <c r="A119" t="s">
        <v>642</v>
      </c>
      <c r="B119" s="11" t="e">
        <f>t3jjcpaequip</f>
        <v>#REF!</v>
      </c>
    </row>
    <row r="120" spans="1:2" x14ac:dyDescent="0.25">
      <c r="A120" t="s">
        <v>643</v>
      </c>
      <c r="B120" s="11" t="e">
        <f>t3jjcpaadmin</f>
        <v>#REF!</v>
      </c>
    </row>
    <row r="121" spans="1:2" x14ac:dyDescent="0.25">
      <c r="A121" t="s">
        <v>644</v>
      </c>
      <c r="B121" s="11" t="e">
        <f>t3jjcpaothr1</f>
        <v>#REF!</v>
      </c>
    </row>
    <row r="122" spans="1:2" x14ac:dyDescent="0.25">
      <c r="A122" t="s">
        <v>645</v>
      </c>
      <c r="B122" s="11" t="e">
        <f>t3jjcpaothr2</f>
        <v>#REF!</v>
      </c>
    </row>
    <row r="123" spans="1:2" x14ac:dyDescent="0.25">
      <c r="A123" t="s">
        <v>646</v>
      </c>
      <c r="B123" s="11" t="e">
        <f>t3jjcpaothr3</f>
        <v>#REF!</v>
      </c>
    </row>
    <row r="124" spans="1:2" x14ac:dyDescent="0.25">
      <c r="A124" t="s">
        <v>647</v>
      </c>
      <c r="B124" s="11" t="e">
        <f>t3jjcpatot</f>
        <v>#REF!</v>
      </c>
    </row>
    <row r="125" spans="1:2" x14ac:dyDescent="0.25">
      <c r="A125" t="s">
        <v>648</v>
      </c>
      <c r="B125" s="11" t="e">
        <f>t3othersal</f>
        <v>#REF!</v>
      </c>
    </row>
    <row r="126" spans="1:2" x14ac:dyDescent="0.25">
      <c r="A126" t="s">
        <v>649</v>
      </c>
      <c r="B126" s="11" t="e">
        <f>t3otherserv</f>
        <v>#REF!</v>
      </c>
    </row>
    <row r="127" spans="1:2" x14ac:dyDescent="0.25">
      <c r="A127" t="s">
        <v>650</v>
      </c>
      <c r="B127" s="11" t="e">
        <f>t3otherprof</f>
        <v>#REF!</v>
      </c>
    </row>
    <row r="128" spans="1:2" x14ac:dyDescent="0.25">
      <c r="A128" t="s">
        <v>651</v>
      </c>
      <c r="B128" s="11" t="e">
        <f>t3othercbo</f>
        <v>#REF!</v>
      </c>
    </row>
    <row r="129" spans="1:2" x14ac:dyDescent="0.25">
      <c r="A129" t="s">
        <v>652</v>
      </c>
      <c r="B129" s="11" t="e">
        <f>t3otherequip</f>
        <v>#REF!</v>
      </c>
    </row>
    <row r="130" spans="1:2" x14ac:dyDescent="0.25">
      <c r="A130" t="s">
        <v>653</v>
      </c>
      <c r="B130" s="11" t="e">
        <f>t3otheradmin</f>
        <v>#REF!</v>
      </c>
    </row>
    <row r="131" spans="1:2" x14ac:dyDescent="0.25">
      <c r="A131" t="s">
        <v>654</v>
      </c>
      <c r="B131" s="11" t="e">
        <f>t3otherothr1</f>
        <v>#REF!</v>
      </c>
    </row>
    <row r="132" spans="1:2" x14ac:dyDescent="0.25">
      <c r="A132" t="s">
        <v>655</v>
      </c>
      <c r="B132" s="11" t="e">
        <f>t3otherothr2</f>
        <v>#REF!</v>
      </c>
    </row>
    <row r="133" spans="1:2" x14ac:dyDescent="0.25">
      <c r="A133" t="s">
        <v>656</v>
      </c>
      <c r="B133" s="11" t="e">
        <f>t3otherothr3</f>
        <v>#REF!</v>
      </c>
    </row>
    <row r="134" spans="1:2" x14ac:dyDescent="0.25">
      <c r="A134" t="s">
        <v>657</v>
      </c>
      <c r="B134" s="11" t="e">
        <f>t3othertot</f>
        <v>#REF!</v>
      </c>
    </row>
    <row r="135" spans="1:2" x14ac:dyDescent="0.25">
      <c r="A135" t="s">
        <v>658</v>
      </c>
      <c r="B135" s="9" t="e">
        <f>t3casecount</f>
        <v>#REF!</v>
      </c>
    </row>
    <row r="136" spans="1:2" x14ac:dyDescent="0.25">
      <c r="A136" t="s">
        <v>659</v>
      </c>
      <c r="B136" s="12" t="e">
        <f>t3yobgpercap</f>
        <v>#REF!</v>
      </c>
    </row>
    <row r="137" spans="1:2" x14ac:dyDescent="0.25">
      <c r="A137" t="s">
        <v>660</v>
      </c>
      <c r="B137" s="12" t="e">
        <f>t3totpercap</f>
        <v>#REF!</v>
      </c>
    </row>
    <row r="138" spans="1:2" x14ac:dyDescent="0.25">
      <c r="A138" t="s">
        <v>663</v>
      </c>
      <c r="B138" s="9" t="e">
        <f>t3youth1</f>
        <v>#REF!</v>
      </c>
    </row>
    <row r="139" spans="1:2" x14ac:dyDescent="0.25">
      <c r="A139" t="s">
        <v>664</v>
      </c>
      <c r="B139" s="9" t="e">
        <f>t3youth2</f>
        <v>#REF!</v>
      </c>
    </row>
    <row r="140" spans="1:2" x14ac:dyDescent="0.25">
      <c r="A140" t="s">
        <v>665</v>
      </c>
      <c r="B140" s="9" t="e">
        <f>t3youth3</f>
        <v>#REF!</v>
      </c>
    </row>
    <row r="141" spans="1:2" x14ac:dyDescent="0.25">
      <c r="A141" t="s">
        <v>666</v>
      </c>
      <c r="B141" s="9" t="e">
        <f>t3youth4</f>
        <v>#REF!</v>
      </c>
    </row>
    <row r="142" spans="1:2" x14ac:dyDescent="0.25">
      <c r="A142" t="s">
        <v>223</v>
      </c>
      <c r="B142" s="9" t="e">
        <f>t3youth5</f>
        <v>#REF!</v>
      </c>
    </row>
    <row r="143" spans="1:2" x14ac:dyDescent="0.25">
      <c r="A143" t="s">
        <v>224</v>
      </c>
      <c r="B143" s="9" t="e">
        <f>t3youth6</f>
        <v>#REF!</v>
      </c>
    </row>
    <row r="144" spans="1:2" x14ac:dyDescent="0.25">
      <c r="A144" t="s">
        <v>667</v>
      </c>
      <c r="B144" s="13" t="e">
        <f>Numecodet4</f>
        <v>#REF!</v>
      </c>
    </row>
    <row r="145" spans="1:2" x14ac:dyDescent="0.25">
      <c r="A145" t="s">
        <v>668</v>
      </c>
      <c r="B145" s="10" t="e">
        <f>Numealtt4</f>
        <v>#REF!</v>
      </c>
    </row>
    <row r="146" spans="1:2" x14ac:dyDescent="0.25">
      <c r="A146" t="s">
        <v>669</v>
      </c>
      <c r="B146" s="11" t="e">
        <f>t4yobgsal</f>
        <v>#REF!</v>
      </c>
    </row>
    <row r="147" spans="1:2" x14ac:dyDescent="0.25">
      <c r="A147" t="s">
        <v>670</v>
      </c>
      <c r="B147" s="11" t="e">
        <f>t4yobgserv</f>
        <v>#REF!</v>
      </c>
    </row>
    <row r="148" spans="1:2" x14ac:dyDescent="0.25">
      <c r="A148" t="s">
        <v>671</v>
      </c>
      <c r="B148" s="11" t="e">
        <f>t4yobgprof</f>
        <v>#REF!</v>
      </c>
    </row>
    <row r="149" spans="1:2" x14ac:dyDescent="0.25">
      <c r="A149" t="s">
        <v>672</v>
      </c>
      <c r="B149" s="11" t="e">
        <f>t4yobgcbo</f>
        <v>#REF!</v>
      </c>
    </row>
    <row r="150" spans="1:2" x14ac:dyDescent="0.25">
      <c r="A150" t="s">
        <v>673</v>
      </c>
      <c r="B150" s="11" t="e">
        <f>t4yobgequip</f>
        <v>#REF!</v>
      </c>
    </row>
    <row r="151" spans="1:2" x14ac:dyDescent="0.25">
      <c r="A151" t="s">
        <v>674</v>
      </c>
      <c r="B151" s="11" t="e">
        <f>t4yobgadmin</f>
        <v>#REF!</v>
      </c>
    </row>
    <row r="152" spans="1:2" x14ac:dyDescent="0.25">
      <c r="A152" t="s">
        <v>675</v>
      </c>
      <c r="B152" s="11" t="e">
        <f>t4yobgothr1</f>
        <v>#REF!</v>
      </c>
    </row>
    <row r="153" spans="1:2" x14ac:dyDescent="0.25">
      <c r="A153" t="s">
        <v>676</v>
      </c>
      <c r="B153" s="11" t="e">
        <f>t4yobgothr2</f>
        <v>#REF!</v>
      </c>
    </row>
    <row r="154" spans="1:2" x14ac:dyDescent="0.25">
      <c r="A154" t="s">
        <v>677</v>
      </c>
      <c r="B154" s="11" t="e">
        <f>t4yobgothr3</f>
        <v>#REF!</v>
      </c>
    </row>
    <row r="155" spans="1:2" x14ac:dyDescent="0.25">
      <c r="A155" t="s">
        <v>678</v>
      </c>
      <c r="B155" s="11" t="e">
        <f>t4yobgtot</f>
        <v>#REF!</v>
      </c>
    </row>
    <row r="156" spans="1:2" x14ac:dyDescent="0.25">
      <c r="A156" t="s">
        <v>679</v>
      </c>
      <c r="B156" s="11" t="e">
        <f>t4jjcpasal</f>
        <v>#REF!</v>
      </c>
    </row>
    <row r="157" spans="1:2" x14ac:dyDescent="0.25">
      <c r="A157" t="s">
        <v>680</v>
      </c>
      <c r="B157" s="11" t="e">
        <f>t4jjcpaserv</f>
        <v>#REF!</v>
      </c>
    </row>
    <row r="158" spans="1:2" x14ac:dyDescent="0.25">
      <c r="A158" t="s">
        <v>681</v>
      </c>
      <c r="B158" s="11" t="e">
        <f>t4jjcpaprof</f>
        <v>#REF!</v>
      </c>
    </row>
    <row r="159" spans="1:2" x14ac:dyDescent="0.25">
      <c r="A159" t="s">
        <v>682</v>
      </c>
      <c r="B159" s="11" t="e">
        <f>t4jjcpacbo</f>
        <v>#REF!</v>
      </c>
    </row>
    <row r="160" spans="1:2" x14ac:dyDescent="0.25">
      <c r="A160" t="s">
        <v>683</v>
      </c>
      <c r="B160" s="11" t="e">
        <f>t4jjcpaequip</f>
        <v>#REF!</v>
      </c>
    </row>
    <row r="161" spans="1:2" x14ac:dyDescent="0.25">
      <c r="A161" t="s">
        <v>684</v>
      </c>
      <c r="B161" s="11" t="e">
        <f>t4jjcpaadmin</f>
        <v>#REF!</v>
      </c>
    </row>
    <row r="162" spans="1:2" x14ac:dyDescent="0.25">
      <c r="A162" t="s">
        <v>685</v>
      </c>
      <c r="B162" s="11" t="e">
        <f>t4jjcpaothr1</f>
        <v>#REF!</v>
      </c>
    </row>
    <row r="163" spans="1:2" x14ac:dyDescent="0.25">
      <c r="A163" t="s">
        <v>686</v>
      </c>
      <c r="B163" s="11" t="e">
        <f>t4jjcpaothr2</f>
        <v>#REF!</v>
      </c>
    </row>
    <row r="164" spans="1:2" x14ac:dyDescent="0.25">
      <c r="A164" t="s">
        <v>687</v>
      </c>
      <c r="B164" s="11" t="e">
        <f>t4jjcpaothr3</f>
        <v>#REF!</v>
      </c>
    </row>
    <row r="165" spans="1:2" x14ac:dyDescent="0.25">
      <c r="A165" t="s">
        <v>688</v>
      </c>
      <c r="B165" s="11" t="e">
        <f>t4jjcpatot</f>
        <v>#REF!</v>
      </c>
    </row>
    <row r="166" spans="1:2" x14ac:dyDescent="0.25">
      <c r="A166" t="s">
        <v>689</v>
      </c>
      <c r="B166" s="11" t="e">
        <f>t4othersal</f>
        <v>#REF!</v>
      </c>
    </row>
    <row r="167" spans="1:2" x14ac:dyDescent="0.25">
      <c r="A167" t="s">
        <v>690</v>
      </c>
      <c r="B167" s="11" t="e">
        <f>t4otherserv</f>
        <v>#REF!</v>
      </c>
    </row>
    <row r="168" spans="1:2" x14ac:dyDescent="0.25">
      <c r="A168" t="s">
        <v>691</v>
      </c>
      <c r="B168" s="11" t="e">
        <f>t4otherprof</f>
        <v>#REF!</v>
      </c>
    </row>
    <row r="169" spans="1:2" x14ac:dyDescent="0.25">
      <c r="A169" t="s">
        <v>692</v>
      </c>
      <c r="B169" s="11" t="e">
        <f>t4othercbo</f>
        <v>#REF!</v>
      </c>
    </row>
    <row r="170" spans="1:2" x14ac:dyDescent="0.25">
      <c r="A170" t="s">
        <v>693</v>
      </c>
      <c r="B170" s="11" t="e">
        <f>t4otherequip</f>
        <v>#REF!</v>
      </c>
    </row>
    <row r="171" spans="1:2" x14ac:dyDescent="0.25">
      <c r="A171" t="s">
        <v>694</v>
      </c>
      <c r="B171" s="11" t="e">
        <f>t4otheradmin</f>
        <v>#REF!</v>
      </c>
    </row>
    <row r="172" spans="1:2" x14ac:dyDescent="0.25">
      <c r="A172" t="s">
        <v>695</v>
      </c>
      <c r="B172" s="11" t="e">
        <f>t4otherothr1</f>
        <v>#REF!</v>
      </c>
    </row>
    <row r="173" spans="1:2" x14ac:dyDescent="0.25">
      <c r="A173" t="s">
        <v>696</v>
      </c>
      <c r="B173" s="11" t="e">
        <f>t4otherothr2</f>
        <v>#REF!</v>
      </c>
    </row>
    <row r="174" spans="1:2" x14ac:dyDescent="0.25">
      <c r="A174" t="s">
        <v>697</v>
      </c>
      <c r="B174" s="11" t="e">
        <f>t4otherothr3</f>
        <v>#REF!</v>
      </c>
    </row>
    <row r="175" spans="1:2" x14ac:dyDescent="0.25">
      <c r="A175" t="s">
        <v>698</v>
      </c>
      <c r="B175" s="11" t="e">
        <f>t4othertot</f>
        <v>#REF!</v>
      </c>
    </row>
    <row r="176" spans="1:2" x14ac:dyDescent="0.25">
      <c r="A176" t="s">
        <v>699</v>
      </c>
      <c r="B176" s="9" t="e">
        <f>t4casecount</f>
        <v>#REF!</v>
      </c>
    </row>
    <row r="177" spans="1:2" x14ac:dyDescent="0.25">
      <c r="A177" t="s">
        <v>700</v>
      </c>
      <c r="B177" s="12" t="e">
        <f>t4yobgpercap</f>
        <v>#REF!</v>
      </c>
    </row>
    <row r="178" spans="1:2" x14ac:dyDescent="0.25">
      <c r="A178" t="s">
        <v>701</v>
      </c>
      <c r="B178" s="12" t="e">
        <f>t4totpercap</f>
        <v>#REF!</v>
      </c>
    </row>
    <row r="179" spans="1:2" x14ac:dyDescent="0.25">
      <c r="A179" t="s">
        <v>703</v>
      </c>
      <c r="B179" s="9" t="e">
        <f>t4youth1</f>
        <v>#REF!</v>
      </c>
    </row>
    <row r="180" spans="1:2" x14ac:dyDescent="0.25">
      <c r="A180" t="s">
        <v>704</v>
      </c>
      <c r="B180" s="9" t="e">
        <f>t4youth2</f>
        <v>#REF!</v>
      </c>
    </row>
    <row r="181" spans="1:2" x14ac:dyDescent="0.25">
      <c r="A181" t="s">
        <v>705</v>
      </c>
      <c r="B181" s="9" t="e">
        <f>t4youth3</f>
        <v>#REF!</v>
      </c>
    </row>
    <row r="182" spans="1:2" x14ac:dyDescent="0.25">
      <c r="A182" t="s">
        <v>706</v>
      </c>
      <c r="B182" s="9" t="e">
        <f>t4youth4</f>
        <v>#REF!</v>
      </c>
    </row>
    <row r="183" spans="1:2" x14ac:dyDescent="0.25">
      <c r="A183" t="s">
        <v>225</v>
      </c>
      <c r="B183" s="9" t="e">
        <f>t4youth5</f>
        <v>#REF!</v>
      </c>
    </row>
    <row r="184" spans="1:2" x14ac:dyDescent="0.25">
      <c r="A184" t="s">
        <v>226</v>
      </c>
      <c r="B184" s="9" t="e">
        <f>t4youth6</f>
        <v>#REF!</v>
      </c>
    </row>
    <row r="185" spans="1:2" x14ac:dyDescent="0.25">
      <c r="A185" t="s">
        <v>707</v>
      </c>
      <c r="B185" s="13" t="e">
        <f>Numecodet5</f>
        <v>#REF!</v>
      </c>
    </row>
    <row r="186" spans="1:2" x14ac:dyDescent="0.25">
      <c r="A186" t="s">
        <v>708</v>
      </c>
      <c r="B186" s="10" t="e">
        <f>Numealtt5</f>
        <v>#REF!</v>
      </c>
    </row>
    <row r="187" spans="1:2" x14ac:dyDescent="0.25">
      <c r="A187" t="s">
        <v>709</v>
      </c>
      <c r="B187" s="11" t="e">
        <f>t5yobgsal</f>
        <v>#REF!</v>
      </c>
    </row>
    <row r="188" spans="1:2" x14ac:dyDescent="0.25">
      <c r="A188" t="s">
        <v>710</v>
      </c>
      <c r="B188" s="11" t="e">
        <f>t5yobgserv</f>
        <v>#REF!</v>
      </c>
    </row>
    <row r="189" spans="1:2" x14ac:dyDescent="0.25">
      <c r="A189" t="s">
        <v>711</v>
      </c>
      <c r="B189" s="11" t="e">
        <f>t5yobgprof</f>
        <v>#REF!</v>
      </c>
    </row>
    <row r="190" spans="1:2" x14ac:dyDescent="0.25">
      <c r="A190" t="s">
        <v>712</v>
      </c>
      <c r="B190" s="11" t="e">
        <f>t5yobgcbo</f>
        <v>#REF!</v>
      </c>
    </row>
    <row r="191" spans="1:2" x14ac:dyDescent="0.25">
      <c r="A191" t="s">
        <v>713</v>
      </c>
      <c r="B191" s="11" t="e">
        <f>t5yobgequip</f>
        <v>#REF!</v>
      </c>
    </row>
    <row r="192" spans="1:2" x14ac:dyDescent="0.25">
      <c r="A192" t="s">
        <v>714</v>
      </c>
      <c r="B192" s="11" t="e">
        <f>t5yobgadmin</f>
        <v>#REF!</v>
      </c>
    </row>
    <row r="193" spans="1:2" x14ac:dyDescent="0.25">
      <c r="A193" t="s">
        <v>715</v>
      </c>
      <c r="B193" s="11" t="e">
        <f>t5yobgothr1</f>
        <v>#REF!</v>
      </c>
    </row>
    <row r="194" spans="1:2" x14ac:dyDescent="0.25">
      <c r="A194" t="s">
        <v>716</v>
      </c>
      <c r="B194" s="11" t="e">
        <f>t5yobgothr2</f>
        <v>#REF!</v>
      </c>
    </row>
    <row r="195" spans="1:2" x14ac:dyDescent="0.25">
      <c r="A195" t="s">
        <v>717</v>
      </c>
      <c r="B195" s="11" t="e">
        <f>t5yobgothr3</f>
        <v>#REF!</v>
      </c>
    </row>
    <row r="196" spans="1:2" x14ac:dyDescent="0.25">
      <c r="A196" t="s">
        <v>718</v>
      </c>
      <c r="B196" s="11" t="e">
        <f>t5yobgtot</f>
        <v>#REF!</v>
      </c>
    </row>
    <row r="197" spans="1:2" x14ac:dyDescent="0.25">
      <c r="A197" t="s">
        <v>719</v>
      </c>
      <c r="B197" s="11" t="e">
        <f>t5jjcpasal</f>
        <v>#REF!</v>
      </c>
    </row>
    <row r="198" spans="1:2" x14ac:dyDescent="0.25">
      <c r="A198" t="s">
        <v>720</v>
      </c>
      <c r="B198" s="11" t="e">
        <f>t5jjcpaserv</f>
        <v>#REF!</v>
      </c>
    </row>
    <row r="199" spans="1:2" x14ac:dyDescent="0.25">
      <c r="A199" t="s">
        <v>721</v>
      </c>
      <c r="B199" s="11" t="e">
        <f>t5jjcpaprof</f>
        <v>#REF!</v>
      </c>
    </row>
    <row r="200" spans="1:2" x14ac:dyDescent="0.25">
      <c r="A200" t="s">
        <v>722</v>
      </c>
      <c r="B200" s="11" t="e">
        <f>t5jjcpacbo</f>
        <v>#REF!</v>
      </c>
    </row>
    <row r="201" spans="1:2" x14ac:dyDescent="0.25">
      <c r="A201" t="s">
        <v>723</v>
      </c>
      <c r="B201" s="11" t="e">
        <f>t5jjcpaequip</f>
        <v>#REF!</v>
      </c>
    </row>
    <row r="202" spans="1:2" x14ac:dyDescent="0.25">
      <c r="A202" t="s">
        <v>724</v>
      </c>
      <c r="B202" s="11" t="e">
        <f>t5jjcpaadmin</f>
        <v>#REF!</v>
      </c>
    </row>
    <row r="203" spans="1:2" x14ac:dyDescent="0.25">
      <c r="A203" t="s">
        <v>725</v>
      </c>
      <c r="B203" s="11" t="e">
        <f>t5jjcpaothr1</f>
        <v>#REF!</v>
      </c>
    </row>
    <row r="204" spans="1:2" x14ac:dyDescent="0.25">
      <c r="A204" t="s">
        <v>726</v>
      </c>
      <c r="B204" s="11" t="e">
        <f>t5jjcpaothr2</f>
        <v>#REF!</v>
      </c>
    </row>
    <row r="205" spans="1:2" x14ac:dyDescent="0.25">
      <c r="A205" t="s">
        <v>727</v>
      </c>
      <c r="B205" s="11" t="e">
        <f>t5jjcpaothr3</f>
        <v>#REF!</v>
      </c>
    </row>
    <row r="206" spans="1:2" x14ac:dyDescent="0.25">
      <c r="A206" t="s">
        <v>728</v>
      </c>
      <c r="B206" s="11" t="e">
        <f>t5jjcpatot</f>
        <v>#REF!</v>
      </c>
    </row>
    <row r="207" spans="1:2" x14ac:dyDescent="0.25">
      <c r="A207" t="s">
        <v>729</v>
      </c>
      <c r="B207" s="11" t="e">
        <f>t5othersal</f>
        <v>#REF!</v>
      </c>
    </row>
    <row r="208" spans="1:2" x14ac:dyDescent="0.25">
      <c r="A208" t="s">
        <v>730</v>
      </c>
      <c r="B208" s="11" t="e">
        <f>t5otherserv</f>
        <v>#REF!</v>
      </c>
    </row>
    <row r="209" spans="1:2" x14ac:dyDescent="0.25">
      <c r="A209" t="s">
        <v>731</v>
      </c>
      <c r="B209" s="11" t="e">
        <f>t5otherprof</f>
        <v>#REF!</v>
      </c>
    </row>
    <row r="210" spans="1:2" x14ac:dyDescent="0.25">
      <c r="A210" t="s">
        <v>732</v>
      </c>
      <c r="B210" s="11" t="e">
        <f>t5othercbo</f>
        <v>#REF!</v>
      </c>
    </row>
    <row r="211" spans="1:2" x14ac:dyDescent="0.25">
      <c r="A211" t="s">
        <v>733</v>
      </c>
      <c r="B211" s="11" t="e">
        <f>t5otherequip</f>
        <v>#REF!</v>
      </c>
    </row>
    <row r="212" spans="1:2" x14ac:dyDescent="0.25">
      <c r="A212" t="s">
        <v>734</v>
      </c>
      <c r="B212" s="11" t="e">
        <f>t5otheradmin</f>
        <v>#REF!</v>
      </c>
    </row>
    <row r="213" spans="1:2" x14ac:dyDescent="0.25">
      <c r="A213" t="s">
        <v>735</v>
      </c>
      <c r="B213" s="11" t="e">
        <f>t5otherothr1</f>
        <v>#REF!</v>
      </c>
    </row>
    <row r="214" spans="1:2" x14ac:dyDescent="0.25">
      <c r="A214" t="s">
        <v>736</v>
      </c>
      <c r="B214" s="11" t="e">
        <f>t5otherothr2</f>
        <v>#REF!</v>
      </c>
    </row>
    <row r="215" spans="1:2" x14ac:dyDescent="0.25">
      <c r="A215" t="s">
        <v>737</v>
      </c>
      <c r="B215" s="11" t="e">
        <f>t5otherothr3</f>
        <v>#REF!</v>
      </c>
    </row>
    <row r="216" spans="1:2" x14ac:dyDescent="0.25">
      <c r="A216" t="s">
        <v>738</v>
      </c>
      <c r="B216" s="11" t="e">
        <f>t5othertot</f>
        <v>#REF!</v>
      </c>
    </row>
    <row r="217" spans="1:2" x14ac:dyDescent="0.25">
      <c r="A217" t="s">
        <v>739</v>
      </c>
      <c r="B217" s="9" t="e">
        <f>t5casecount</f>
        <v>#REF!</v>
      </c>
    </row>
    <row r="218" spans="1:2" x14ac:dyDescent="0.25">
      <c r="A218" t="s">
        <v>740</v>
      </c>
      <c r="B218" s="12" t="e">
        <f>t5yobgpercap</f>
        <v>#REF!</v>
      </c>
    </row>
    <row r="219" spans="1:2" x14ac:dyDescent="0.25">
      <c r="A219" t="s">
        <v>741</v>
      </c>
      <c r="B219" s="12" t="e">
        <f>t5totpercap</f>
        <v>#REF!</v>
      </c>
    </row>
    <row r="220" spans="1:2" x14ac:dyDescent="0.25">
      <c r="A220" t="s">
        <v>743</v>
      </c>
      <c r="B220" s="9" t="e">
        <f>t5youth1</f>
        <v>#REF!</v>
      </c>
    </row>
    <row r="221" spans="1:2" x14ac:dyDescent="0.25">
      <c r="A221" t="s">
        <v>744</v>
      </c>
      <c r="B221" s="9" t="e">
        <f>t5youth2</f>
        <v>#REF!</v>
      </c>
    </row>
    <row r="222" spans="1:2" x14ac:dyDescent="0.25">
      <c r="A222" t="s">
        <v>745</v>
      </c>
      <c r="B222" s="9" t="e">
        <f>t5youth3</f>
        <v>#REF!</v>
      </c>
    </row>
    <row r="223" spans="1:2" x14ac:dyDescent="0.25">
      <c r="A223" t="s">
        <v>746</v>
      </c>
      <c r="B223" s="9" t="e">
        <f>t5youth4</f>
        <v>#REF!</v>
      </c>
    </row>
    <row r="224" spans="1:2" x14ac:dyDescent="0.25">
      <c r="A224" t="s">
        <v>227</v>
      </c>
      <c r="B224" s="9" t="e">
        <f>t5youth5</f>
        <v>#REF!</v>
      </c>
    </row>
    <row r="225" spans="1:2" x14ac:dyDescent="0.25">
      <c r="A225" t="s">
        <v>228</v>
      </c>
      <c r="B225" s="9" t="e">
        <f>t5youth6</f>
        <v>#REF!</v>
      </c>
    </row>
  </sheetData>
  <sheetProtection password="CB13" sheet="1" objects="1" scenarios="1"/>
  <phoneticPr fontId="2" type="noConversion"/>
  <dataValidations count="1">
    <dataValidation type="list" allowBlank="1" showDropDown="1" showInputMessage="1" showErrorMessage="1" sqref="B5" xr:uid="{00000000-0002-0000-0C00-000000000000}">
      <formula1>Address2</formula1>
    </dataValidation>
  </dataValidations>
  <pageMargins left="0.75" right="0.75" top="1" bottom="1" header="0.5" footer="0.5"/>
  <pageSetup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B225"/>
  <sheetViews>
    <sheetView workbookViewId="0">
      <selection activeCell="H26" sqref="H26:I26"/>
    </sheetView>
  </sheetViews>
  <sheetFormatPr defaultRowHeight="13.2" x14ac:dyDescent="0.25"/>
  <cols>
    <col min="1" max="1" width="41.44140625" customWidth="1"/>
    <col min="2" max="2" width="43.88671875" customWidth="1"/>
  </cols>
  <sheetData>
    <row r="1" spans="1:2" x14ac:dyDescent="0.25">
      <c r="A1" t="s">
        <v>539</v>
      </c>
      <c r="B1" s="23" t="str">
        <f>County</f>
        <v>Alameda</v>
      </c>
    </row>
    <row r="2" spans="1:2" x14ac:dyDescent="0.25">
      <c r="A2" t="s">
        <v>747</v>
      </c>
      <c r="B2" s="13" t="e">
        <f>Numecodet6</f>
        <v>#REF!</v>
      </c>
    </row>
    <row r="3" spans="1:2" x14ac:dyDescent="0.25">
      <c r="A3" t="s">
        <v>748</v>
      </c>
      <c r="B3" s="10" t="e">
        <f>Numealtt6</f>
        <v>#REF!</v>
      </c>
    </row>
    <row r="4" spans="1:2" x14ac:dyDescent="0.25">
      <c r="A4" t="s">
        <v>749</v>
      </c>
      <c r="B4" s="11" t="e">
        <f>t6yobgsal</f>
        <v>#REF!</v>
      </c>
    </row>
    <row r="5" spans="1:2" x14ac:dyDescent="0.25">
      <c r="A5" t="s">
        <v>750</v>
      </c>
      <c r="B5" s="11" t="e">
        <f>t6yobgserv</f>
        <v>#REF!</v>
      </c>
    </row>
    <row r="6" spans="1:2" x14ac:dyDescent="0.25">
      <c r="A6" t="s">
        <v>0</v>
      </c>
      <c r="B6" s="11" t="e">
        <f>t6yobgprof</f>
        <v>#REF!</v>
      </c>
    </row>
    <row r="7" spans="1:2" x14ac:dyDescent="0.25">
      <c r="A7" t="s">
        <v>1</v>
      </c>
      <c r="B7" s="11" t="e">
        <f>t6yobgcbo</f>
        <v>#REF!</v>
      </c>
    </row>
    <row r="8" spans="1:2" x14ac:dyDescent="0.25">
      <c r="A8" t="s">
        <v>2</v>
      </c>
      <c r="B8" s="11" t="e">
        <f>t6yobgequip</f>
        <v>#REF!</v>
      </c>
    </row>
    <row r="9" spans="1:2" x14ac:dyDescent="0.25">
      <c r="A9" t="s">
        <v>3</v>
      </c>
      <c r="B9" s="11" t="e">
        <f>t6yobgadmin</f>
        <v>#REF!</v>
      </c>
    </row>
    <row r="10" spans="1:2" x14ac:dyDescent="0.25">
      <c r="A10" t="s">
        <v>4</v>
      </c>
      <c r="B10" s="11" t="e">
        <f>t6yobgothr1</f>
        <v>#REF!</v>
      </c>
    </row>
    <row r="11" spans="1:2" x14ac:dyDescent="0.25">
      <c r="A11" t="s">
        <v>5</v>
      </c>
      <c r="B11" s="11" t="e">
        <f>t6yobgothr2</f>
        <v>#REF!</v>
      </c>
    </row>
    <row r="12" spans="1:2" x14ac:dyDescent="0.25">
      <c r="A12" t="s">
        <v>6</v>
      </c>
      <c r="B12" s="11" t="e">
        <f>t6yobgothr3</f>
        <v>#REF!</v>
      </c>
    </row>
    <row r="13" spans="1:2" x14ac:dyDescent="0.25">
      <c r="A13" t="s">
        <v>7</v>
      </c>
      <c r="B13" s="11" t="e">
        <f>t6yobgtot</f>
        <v>#REF!</v>
      </c>
    </row>
    <row r="14" spans="1:2" x14ac:dyDescent="0.25">
      <c r="A14" t="s">
        <v>8</v>
      </c>
      <c r="B14" s="11" t="e">
        <f>t6jjcpasal</f>
        <v>#REF!</v>
      </c>
    </row>
    <row r="15" spans="1:2" x14ac:dyDescent="0.25">
      <c r="A15" t="s">
        <v>9</v>
      </c>
      <c r="B15" s="11" t="e">
        <f>t6jjcpaserv</f>
        <v>#REF!</v>
      </c>
    </row>
    <row r="16" spans="1:2" x14ac:dyDescent="0.25">
      <c r="A16" t="s">
        <v>10</v>
      </c>
      <c r="B16" s="11" t="e">
        <f>t6jjcpaprof</f>
        <v>#REF!</v>
      </c>
    </row>
    <row r="17" spans="1:2" x14ac:dyDescent="0.25">
      <c r="A17" t="s">
        <v>11</v>
      </c>
      <c r="B17" s="11" t="e">
        <f>t6jjcpacbo</f>
        <v>#REF!</v>
      </c>
    </row>
    <row r="18" spans="1:2" x14ac:dyDescent="0.25">
      <c r="A18" t="s">
        <v>12</v>
      </c>
      <c r="B18" s="11" t="e">
        <f>t6jjcpaequip</f>
        <v>#REF!</v>
      </c>
    </row>
    <row r="19" spans="1:2" x14ac:dyDescent="0.25">
      <c r="A19" t="s">
        <v>13</v>
      </c>
      <c r="B19" s="11" t="e">
        <f>t6jjcpaadmin</f>
        <v>#REF!</v>
      </c>
    </row>
    <row r="20" spans="1:2" x14ac:dyDescent="0.25">
      <c r="A20" t="s">
        <v>14</v>
      </c>
      <c r="B20" s="11" t="e">
        <f>t6jjcpaothr1</f>
        <v>#REF!</v>
      </c>
    </row>
    <row r="21" spans="1:2" x14ac:dyDescent="0.25">
      <c r="A21" t="s">
        <v>15</v>
      </c>
      <c r="B21" s="11" t="e">
        <f>t6jjcpaothr2</f>
        <v>#REF!</v>
      </c>
    </row>
    <row r="22" spans="1:2" x14ac:dyDescent="0.25">
      <c r="A22" t="s">
        <v>16</v>
      </c>
      <c r="B22" s="11" t="e">
        <f>t6jjcpaothr3</f>
        <v>#REF!</v>
      </c>
    </row>
    <row r="23" spans="1:2" x14ac:dyDescent="0.25">
      <c r="A23" t="s">
        <v>17</v>
      </c>
      <c r="B23" s="11" t="e">
        <f>t6jjcpatot</f>
        <v>#REF!</v>
      </c>
    </row>
    <row r="24" spans="1:2" x14ac:dyDescent="0.25">
      <c r="A24" t="s">
        <v>18</v>
      </c>
      <c r="B24" s="11" t="e">
        <f>t6othersal</f>
        <v>#REF!</v>
      </c>
    </row>
    <row r="25" spans="1:2" x14ac:dyDescent="0.25">
      <c r="A25" t="s">
        <v>19</v>
      </c>
      <c r="B25" s="11" t="e">
        <f>t6otherserv</f>
        <v>#REF!</v>
      </c>
    </row>
    <row r="26" spans="1:2" x14ac:dyDescent="0.25">
      <c r="A26" t="s">
        <v>20</v>
      </c>
      <c r="B26" s="11" t="e">
        <f>t6otherprof</f>
        <v>#REF!</v>
      </c>
    </row>
    <row r="27" spans="1:2" x14ac:dyDescent="0.25">
      <c r="A27" t="s">
        <v>21</v>
      </c>
      <c r="B27" s="11" t="e">
        <f>t6othercbo</f>
        <v>#REF!</v>
      </c>
    </row>
    <row r="28" spans="1:2" x14ac:dyDescent="0.25">
      <c r="A28" t="s">
        <v>22</v>
      </c>
      <c r="B28" s="11" t="e">
        <f>t6otherequip</f>
        <v>#REF!</v>
      </c>
    </row>
    <row r="29" spans="1:2" x14ac:dyDescent="0.25">
      <c r="A29" t="s">
        <v>23</v>
      </c>
      <c r="B29" s="11" t="e">
        <f>t6otheradmin</f>
        <v>#REF!</v>
      </c>
    </row>
    <row r="30" spans="1:2" x14ac:dyDescent="0.25">
      <c r="A30" t="s">
        <v>24</v>
      </c>
      <c r="B30" s="11" t="e">
        <f>t6otherothr1</f>
        <v>#REF!</v>
      </c>
    </row>
    <row r="31" spans="1:2" x14ac:dyDescent="0.25">
      <c r="A31" t="s">
        <v>25</v>
      </c>
      <c r="B31" s="11" t="e">
        <f>t6otherothr2</f>
        <v>#REF!</v>
      </c>
    </row>
    <row r="32" spans="1:2" x14ac:dyDescent="0.25">
      <c r="A32" t="s">
        <v>26</v>
      </c>
      <c r="B32" s="11" t="e">
        <f>t6otherothr3</f>
        <v>#REF!</v>
      </c>
    </row>
    <row r="33" spans="1:2" x14ac:dyDescent="0.25">
      <c r="A33" t="s">
        <v>27</v>
      </c>
      <c r="B33" s="11" t="e">
        <f>t6othertot</f>
        <v>#REF!</v>
      </c>
    </row>
    <row r="34" spans="1:2" x14ac:dyDescent="0.25">
      <c r="A34" t="s">
        <v>28</v>
      </c>
      <c r="B34" s="9" t="e">
        <f>t6casecount</f>
        <v>#REF!</v>
      </c>
    </row>
    <row r="35" spans="1:2" x14ac:dyDescent="0.25">
      <c r="A35" t="s">
        <v>29</v>
      </c>
      <c r="B35" s="12" t="e">
        <f>t6yobgpercap</f>
        <v>#REF!</v>
      </c>
    </row>
    <row r="36" spans="1:2" x14ac:dyDescent="0.25">
      <c r="A36" t="s">
        <v>30</v>
      </c>
      <c r="B36" s="12" t="e">
        <f>t6totpercap</f>
        <v>#REF!</v>
      </c>
    </row>
    <row r="37" spans="1:2" x14ac:dyDescent="0.25">
      <c r="A37" t="s">
        <v>32</v>
      </c>
      <c r="B37" s="9" t="e">
        <f>t6youth1</f>
        <v>#REF!</v>
      </c>
    </row>
    <row r="38" spans="1:2" x14ac:dyDescent="0.25">
      <c r="A38" t="s">
        <v>33</v>
      </c>
      <c r="B38" s="9" t="e">
        <f>t6youth2</f>
        <v>#REF!</v>
      </c>
    </row>
    <row r="39" spans="1:2" x14ac:dyDescent="0.25">
      <c r="A39" t="s">
        <v>34</v>
      </c>
      <c r="B39" s="9" t="e">
        <f>t6youth3</f>
        <v>#REF!</v>
      </c>
    </row>
    <row r="40" spans="1:2" x14ac:dyDescent="0.25">
      <c r="A40" t="s">
        <v>35</v>
      </c>
      <c r="B40" s="9" t="e">
        <f>t6youth4</f>
        <v>#REF!</v>
      </c>
    </row>
    <row r="41" spans="1:2" x14ac:dyDescent="0.25">
      <c r="A41" t="s">
        <v>229</v>
      </c>
      <c r="B41" s="9" t="e">
        <f>t6youth5</f>
        <v>#REF!</v>
      </c>
    </row>
    <row r="42" spans="1:2" x14ac:dyDescent="0.25">
      <c r="A42" t="s">
        <v>230</v>
      </c>
      <c r="B42" s="9" t="e">
        <f>t6youth6</f>
        <v>#REF!</v>
      </c>
    </row>
    <row r="43" spans="1:2" x14ac:dyDescent="0.25">
      <c r="A43" t="s">
        <v>36</v>
      </c>
      <c r="B43" s="13" t="e">
        <f>Numecodet7</f>
        <v>#REF!</v>
      </c>
    </row>
    <row r="44" spans="1:2" x14ac:dyDescent="0.25">
      <c r="A44" t="s">
        <v>37</v>
      </c>
      <c r="B44" s="10" t="e">
        <f>Numealtt7</f>
        <v>#REF!</v>
      </c>
    </row>
    <row r="45" spans="1:2" x14ac:dyDescent="0.25">
      <c r="A45" t="s">
        <v>38</v>
      </c>
      <c r="B45" s="11" t="e">
        <f>t7yobgsal</f>
        <v>#REF!</v>
      </c>
    </row>
    <row r="46" spans="1:2" x14ac:dyDescent="0.25">
      <c r="A46" t="s">
        <v>39</v>
      </c>
      <c r="B46" s="11" t="e">
        <f>t7yobgserv</f>
        <v>#REF!</v>
      </c>
    </row>
    <row r="47" spans="1:2" x14ac:dyDescent="0.25">
      <c r="A47" t="s">
        <v>40</v>
      </c>
      <c r="B47" s="11" t="e">
        <f>t7yobgprof</f>
        <v>#REF!</v>
      </c>
    </row>
    <row r="48" spans="1:2" x14ac:dyDescent="0.25">
      <c r="A48" t="s">
        <v>41</v>
      </c>
      <c r="B48" s="11" t="e">
        <f>t7yobgcbo</f>
        <v>#REF!</v>
      </c>
    </row>
    <row r="49" spans="1:2" x14ac:dyDescent="0.25">
      <c r="A49" t="s">
        <v>42</v>
      </c>
      <c r="B49" s="11" t="e">
        <f>t7yobgequip</f>
        <v>#REF!</v>
      </c>
    </row>
    <row r="50" spans="1:2" x14ac:dyDescent="0.25">
      <c r="A50" t="s">
        <v>43</v>
      </c>
      <c r="B50" s="11" t="e">
        <f>t7yobgadmin</f>
        <v>#REF!</v>
      </c>
    </row>
    <row r="51" spans="1:2" x14ac:dyDescent="0.25">
      <c r="A51" t="s">
        <v>44</v>
      </c>
      <c r="B51" s="11" t="e">
        <f>t7yobgothr1</f>
        <v>#REF!</v>
      </c>
    </row>
    <row r="52" spans="1:2" x14ac:dyDescent="0.25">
      <c r="A52" t="s">
        <v>45</v>
      </c>
      <c r="B52" s="11" t="e">
        <f>t7yobgothr2</f>
        <v>#REF!</v>
      </c>
    </row>
    <row r="53" spans="1:2" x14ac:dyDescent="0.25">
      <c r="A53" t="s">
        <v>46</v>
      </c>
      <c r="B53" s="11" t="e">
        <f>t7yobgothr3</f>
        <v>#REF!</v>
      </c>
    </row>
    <row r="54" spans="1:2" x14ac:dyDescent="0.25">
      <c r="A54" t="s">
        <v>47</v>
      </c>
      <c r="B54" s="11" t="e">
        <f>t7yobgtot</f>
        <v>#REF!</v>
      </c>
    </row>
    <row r="55" spans="1:2" x14ac:dyDescent="0.25">
      <c r="A55" t="s">
        <v>48</v>
      </c>
      <c r="B55" s="11" t="e">
        <f>t7jjcpasal</f>
        <v>#REF!</v>
      </c>
    </row>
    <row r="56" spans="1:2" x14ac:dyDescent="0.25">
      <c r="A56" t="s">
        <v>49</v>
      </c>
      <c r="B56" s="11" t="e">
        <f>t7jjcpaserv</f>
        <v>#REF!</v>
      </c>
    </row>
    <row r="57" spans="1:2" x14ac:dyDescent="0.25">
      <c r="A57" t="s">
        <v>50</v>
      </c>
      <c r="B57" s="11" t="e">
        <f>t7jjcpaprof</f>
        <v>#REF!</v>
      </c>
    </row>
    <row r="58" spans="1:2" x14ac:dyDescent="0.25">
      <c r="A58" t="s">
        <v>51</v>
      </c>
      <c r="B58" s="11" t="e">
        <f>t7jjcpacbo</f>
        <v>#REF!</v>
      </c>
    </row>
    <row r="59" spans="1:2" x14ac:dyDescent="0.25">
      <c r="A59" t="s">
        <v>52</v>
      </c>
      <c r="B59" s="11" t="e">
        <f>t7jjcpaequip</f>
        <v>#REF!</v>
      </c>
    </row>
    <row r="60" spans="1:2" x14ac:dyDescent="0.25">
      <c r="A60" t="s">
        <v>53</v>
      </c>
      <c r="B60" s="11" t="e">
        <f>t7jjcpaadmin</f>
        <v>#REF!</v>
      </c>
    </row>
    <row r="61" spans="1:2" x14ac:dyDescent="0.25">
      <c r="A61" t="s">
        <v>54</v>
      </c>
      <c r="B61" s="11" t="e">
        <f>t7jjcpaothr1</f>
        <v>#REF!</v>
      </c>
    </row>
    <row r="62" spans="1:2" x14ac:dyDescent="0.25">
      <c r="A62" t="s">
        <v>55</v>
      </c>
      <c r="B62" s="11" t="e">
        <f>t7jjcpaothr2</f>
        <v>#REF!</v>
      </c>
    </row>
    <row r="63" spans="1:2" x14ac:dyDescent="0.25">
      <c r="A63" t="s">
        <v>56</v>
      </c>
      <c r="B63" s="11" t="e">
        <f>t7jjcpaothr3</f>
        <v>#REF!</v>
      </c>
    </row>
    <row r="64" spans="1:2" x14ac:dyDescent="0.25">
      <c r="A64" t="s">
        <v>57</v>
      </c>
      <c r="B64" s="11" t="e">
        <f>t7jjcpatot</f>
        <v>#REF!</v>
      </c>
    </row>
    <row r="65" spans="1:2" x14ac:dyDescent="0.25">
      <c r="A65" t="s">
        <v>58</v>
      </c>
      <c r="B65" s="11" t="e">
        <f>t7othersal</f>
        <v>#REF!</v>
      </c>
    </row>
    <row r="66" spans="1:2" x14ac:dyDescent="0.25">
      <c r="A66" t="s">
        <v>59</v>
      </c>
      <c r="B66" s="11" t="e">
        <f>t7otherserv</f>
        <v>#REF!</v>
      </c>
    </row>
    <row r="67" spans="1:2" x14ac:dyDescent="0.25">
      <c r="A67" t="s">
        <v>60</v>
      </c>
      <c r="B67" s="11" t="e">
        <f>t7otherprof</f>
        <v>#REF!</v>
      </c>
    </row>
    <row r="68" spans="1:2" x14ac:dyDescent="0.25">
      <c r="A68" t="s">
        <v>61</v>
      </c>
      <c r="B68" s="11" t="e">
        <f>t7othercbo</f>
        <v>#REF!</v>
      </c>
    </row>
    <row r="69" spans="1:2" x14ac:dyDescent="0.25">
      <c r="A69" t="s">
        <v>62</v>
      </c>
      <c r="B69" s="11" t="e">
        <f>t7otherequip</f>
        <v>#REF!</v>
      </c>
    </row>
    <row r="70" spans="1:2" x14ac:dyDescent="0.25">
      <c r="A70" t="s">
        <v>63</v>
      </c>
      <c r="B70" s="11" t="e">
        <f>t7otheradmin</f>
        <v>#REF!</v>
      </c>
    </row>
    <row r="71" spans="1:2" x14ac:dyDescent="0.25">
      <c r="A71" t="s">
        <v>64</v>
      </c>
      <c r="B71" s="11" t="e">
        <f>t7otherothr1</f>
        <v>#REF!</v>
      </c>
    </row>
    <row r="72" spans="1:2" x14ac:dyDescent="0.25">
      <c r="A72" t="s">
        <v>65</v>
      </c>
      <c r="B72" s="11" t="e">
        <f>t7otherothr2</f>
        <v>#REF!</v>
      </c>
    </row>
    <row r="73" spans="1:2" x14ac:dyDescent="0.25">
      <c r="A73" t="s">
        <v>66</v>
      </c>
      <c r="B73" s="11" t="e">
        <f>t7otherothr3</f>
        <v>#REF!</v>
      </c>
    </row>
    <row r="74" spans="1:2" x14ac:dyDescent="0.25">
      <c r="A74" t="s">
        <v>67</v>
      </c>
      <c r="B74" s="11" t="e">
        <f>t7othertot</f>
        <v>#REF!</v>
      </c>
    </row>
    <row r="75" spans="1:2" x14ac:dyDescent="0.25">
      <c r="A75" t="s">
        <v>68</v>
      </c>
      <c r="B75" s="9" t="e">
        <f>t7casecount</f>
        <v>#REF!</v>
      </c>
    </row>
    <row r="76" spans="1:2" x14ac:dyDescent="0.25">
      <c r="A76" t="s">
        <v>69</v>
      </c>
      <c r="B76" s="12" t="e">
        <f>t7yobgpercap</f>
        <v>#REF!</v>
      </c>
    </row>
    <row r="77" spans="1:2" x14ac:dyDescent="0.25">
      <c r="A77" t="s">
        <v>70</v>
      </c>
      <c r="B77" s="12" t="e">
        <f>t7totpercap</f>
        <v>#REF!</v>
      </c>
    </row>
    <row r="78" spans="1:2" x14ac:dyDescent="0.25">
      <c r="A78" t="s">
        <v>72</v>
      </c>
      <c r="B78" s="9" t="e">
        <f>t7youth1</f>
        <v>#REF!</v>
      </c>
    </row>
    <row r="79" spans="1:2" x14ac:dyDescent="0.25">
      <c r="A79" t="s">
        <v>73</v>
      </c>
      <c r="B79" s="9" t="e">
        <f>t7youth2</f>
        <v>#REF!</v>
      </c>
    </row>
    <row r="80" spans="1:2" x14ac:dyDescent="0.25">
      <c r="A80" t="s">
        <v>74</v>
      </c>
      <c r="B80" s="9" t="e">
        <f>t7youth3</f>
        <v>#REF!</v>
      </c>
    </row>
    <row r="81" spans="1:2" x14ac:dyDescent="0.25">
      <c r="A81" t="s">
        <v>75</v>
      </c>
      <c r="B81" s="9" t="e">
        <f>t7youth4</f>
        <v>#REF!</v>
      </c>
    </row>
    <row r="82" spans="1:2" x14ac:dyDescent="0.25">
      <c r="A82" t="s">
        <v>231</v>
      </c>
      <c r="B82" s="9" t="e">
        <f>t7youth5</f>
        <v>#REF!</v>
      </c>
    </row>
    <row r="83" spans="1:2" x14ac:dyDescent="0.25">
      <c r="A83" t="s">
        <v>232</v>
      </c>
      <c r="B83" s="9" t="e">
        <f>t7youth6</f>
        <v>#REF!</v>
      </c>
    </row>
    <row r="84" spans="1:2" x14ac:dyDescent="0.25">
      <c r="A84" t="s">
        <v>76</v>
      </c>
      <c r="B84" s="13" t="e">
        <f>Numecodet8</f>
        <v>#REF!</v>
      </c>
    </row>
    <row r="85" spans="1:2" x14ac:dyDescent="0.25">
      <c r="A85" t="s">
        <v>77</v>
      </c>
      <c r="B85" s="10" t="e">
        <f>Numealtt8</f>
        <v>#REF!</v>
      </c>
    </row>
    <row r="86" spans="1:2" x14ac:dyDescent="0.25">
      <c r="A86" t="s">
        <v>78</v>
      </c>
      <c r="B86" s="11" t="e">
        <f>t8yobgsal</f>
        <v>#REF!</v>
      </c>
    </row>
    <row r="87" spans="1:2" x14ac:dyDescent="0.25">
      <c r="A87" t="s">
        <v>79</v>
      </c>
      <c r="B87" s="11" t="e">
        <f>t8yobgserv</f>
        <v>#REF!</v>
      </c>
    </row>
    <row r="88" spans="1:2" x14ac:dyDescent="0.25">
      <c r="A88" t="s">
        <v>80</v>
      </c>
      <c r="B88" s="11" t="e">
        <f>t8yobgprof</f>
        <v>#REF!</v>
      </c>
    </row>
    <row r="89" spans="1:2" x14ac:dyDescent="0.25">
      <c r="A89" t="s">
        <v>81</v>
      </c>
      <c r="B89" s="11" t="e">
        <f>t8yobgcbo</f>
        <v>#REF!</v>
      </c>
    </row>
    <row r="90" spans="1:2" x14ac:dyDescent="0.25">
      <c r="A90" t="s">
        <v>82</v>
      </c>
      <c r="B90" s="11" t="e">
        <f>t8yobgequip</f>
        <v>#REF!</v>
      </c>
    </row>
    <row r="91" spans="1:2" x14ac:dyDescent="0.25">
      <c r="A91" t="s">
        <v>83</v>
      </c>
      <c r="B91" s="11" t="e">
        <f>t8yobgadmin</f>
        <v>#REF!</v>
      </c>
    </row>
    <row r="92" spans="1:2" x14ac:dyDescent="0.25">
      <c r="A92" t="s">
        <v>84</v>
      </c>
      <c r="B92" s="11" t="e">
        <f>t8yobgothr1</f>
        <v>#REF!</v>
      </c>
    </row>
    <row r="93" spans="1:2" x14ac:dyDescent="0.25">
      <c r="A93" t="s">
        <v>85</v>
      </c>
      <c r="B93" s="11" t="e">
        <f>t8yobgothr2</f>
        <v>#REF!</v>
      </c>
    </row>
    <row r="94" spans="1:2" x14ac:dyDescent="0.25">
      <c r="A94" t="s">
        <v>86</v>
      </c>
      <c r="B94" s="11" t="e">
        <f>t8yobgothr3</f>
        <v>#REF!</v>
      </c>
    </row>
    <row r="95" spans="1:2" x14ac:dyDescent="0.25">
      <c r="A95" t="s">
        <v>87</v>
      </c>
      <c r="B95" s="11" t="e">
        <f>t8yobgtot</f>
        <v>#REF!</v>
      </c>
    </row>
    <row r="96" spans="1:2" x14ac:dyDescent="0.25">
      <c r="A96" t="s">
        <v>88</v>
      </c>
      <c r="B96" s="11" t="e">
        <f>t8jjcpasal</f>
        <v>#REF!</v>
      </c>
    </row>
    <row r="97" spans="1:2" x14ac:dyDescent="0.25">
      <c r="A97" t="s">
        <v>89</v>
      </c>
      <c r="B97" s="11" t="e">
        <f>t8jjcpaserv</f>
        <v>#REF!</v>
      </c>
    </row>
    <row r="98" spans="1:2" x14ac:dyDescent="0.25">
      <c r="A98" t="s">
        <v>90</v>
      </c>
      <c r="B98" s="11" t="e">
        <f>t8jjcpaprof</f>
        <v>#REF!</v>
      </c>
    </row>
    <row r="99" spans="1:2" x14ac:dyDescent="0.25">
      <c r="A99" t="s">
        <v>91</v>
      </c>
      <c r="B99" s="11" t="e">
        <f>t8jjcpacbo</f>
        <v>#REF!</v>
      </c>
    </row>
    <row r="100" spans="1:2" x14ac:dyDescent="0.25">
      <c r="A100" t="s">
        <v>92</v>
      </c>
      <c r="B100" s="11" t="e">
        <f>t8jjcpaequip</f>
        <v>#REF!</v>
      </c>
    </row>
    <row r="101" spans="1:2" x14ac:dyDescent="0.25">
      <c r="A101" t="s">
        <v>93</v>
      </c>
      <c r="B101" s="11" t="e">
        <f>t8jjcpaadmin</f>
        <v>#REF!</v>
      </c>
    </row>
    <row r="102" spans="1:2" x14ac:dyDescent="0.25">
      <c r="A102" t="s">
        <v>94</v>
      </c>
      <c r="B102" s="11" t="e">
        <f>t8jjcpaothr1</f>
        <v>#REF!</v>
      </c>
    </row>
    <row r="103" spans="1:2" x14ac:dyDescent="0.25">
      <c r="A103" t="s">
        <v>95</v>
      </c>
      <c r="B103" s="11" t="e">
        <f>t8jjcpaothr2</f>
        <v>#REF!</v>
      </c>
    </row>
    <row r="104" spans="1:2" x14ac:dyDescent="0.25">
      <c r="A104" t="s">
        <v>96</v>
      </c>
      <c r="B104" s="11" t="e">
        <f>t8jjcpaothr3</f>
        <v>#REF!</v>
      </c>
    </row>
    <row r="105" spans="1:2" x14ac:dyDescent="0.25">
      <c r="A105" t="s">
        <v>97</v>
      </c>
      <c r="B105" s="11" t="e">
        <f>t8jjcpatot</f>
        <v>#REF!</v>
      </c>
    </row>
    <row r="106" spans="1:2" x14ac:dyDescent="0.25">
      <c r="A106" t="s">
        <v>98</v>
      </c>
      <c r="B106" s="11" t="e">
        <f>t8othersal</f>
        <v>#REF!</v>
      </c>
    </row>
    <row r="107" spans="1:2" x14ac:dyDescent="0.25">
      <c r="A107" t="s">
        <v>99</v>
      </c>
      <c r="B107" s="11" t="e">
        <f>t8otherserv</f>
        <v>#REF!</v>
      </c>
    </row>
    <row r="108" spans="1:2" x14ac:dyDescent="0.25">
      <c r="A108" t="s">
        <v>100</v>
      </c>
      <c r="B108" s="11" t="e">
        <f>t8otherprof</f>
        <v>#REF!</v>
      </c>
    </row>
    <row r="109" spans="1:2" x14ac:dyDescent="0.25">
      <c r="A109" t="s">
        <v>101</v>
      </c>
      <c r="B109" s="11" t="e">
        <f>t8othercbo</f>
        <v>#REF!</v>
      </c>
    </row>
    <row r="110" spans="1:2" x14ac:dyDescent="0.25">
      <c r="A110" t="s">
        <v>102</v>
      </c>
      <c r="B110" s="11" t="e">
        <f>t8otherequip</f>
        <v>#REF!</v>
      </c>
    </row>
    <row r="111" spans="1:2" x14ac:dyDescent="0.25">
      <c r="A111" t="s">
        <v>103</v>
      </c>
      <c r="B111" s="11" t="e">
        <f>t8otheradmin</f>
        <v>#REF!</v>
      </c>
    </row>
    <row r="112" spans="1:2" x14ac:dyDescent="0.25">
      <c r="A112" t="s">
        <v>104</v>
      </c>
      <c r="B112" s="11" t="e">
        <f>t8otherothr1</f>
        <v>#REF!</v>
      </c>
    </row>
    <row r="113" spans="1:2" x14ac:dyDescent="0.25">
      <c r="A113" t="s">
        <v>105</v>
      </c>
      <c r="B113" s="11" t="e">
        <f>t8otherothr2</f>
        <v>#REF!</v>
      </c>
    </row>
    <row r="114" spans="1:2" x14ac:dyDescent="0.25">
      <c r="A114" t="s">
        <v>106</v>
      </c>
      <c r="B114" s="11" t="e">
        <f>t8otherothr3</f>
        <v>#REF!</v>
      </c>
    </row>
    <row r="115" spans="1:2" x14ac:dyDescent="0.25">
      <c r="A115" t="s">
        <v>107</v>
      </c>
      <c r="B115" s="11" t="e">
        <f>t8othertot</f>
        <v>#REF!</v>
      </c>
    </row>
    <row r="116" spans="1:2" x14ac:dyDescent="0.25">
      <c r="A116" t="s">
        <v>108</v>
      </c>
      <c r="B116" s="9" t="e">
        <f>t8casecount</f>
        <v>#REF!</v>
      </c>
    </row>
    <row r="117" spans="1:2" x14ac:dyDescent="0.25">
      <c r="A117" t="s">
        <v>109</v>
      </c>
      <c r="B117" s="12" t="e">
        <f>t8yobgpercap</f>
        <v>#REF!</v>
      </c>
    </row>
    <row r="118" spans="1:2" x14ac:dyDescent="0.25">
      <c r="A118" t="s">
        <v>110</v>
      </c>
      <c r="B118" s="12" t="e">
        <f>t8totpercap</f>
        <v>#REF!</v>
      </c>
    </row>
    <row r="119" spans="1:2" x14ac:dyDescent="0.25">
      <c r="A119" t="s">
        <v>111</v>
      </c>
      <c r="B119" s="9" t="e">
        <f>t8youth1</f>
        <v>#REF!</v>
      </c>
    </row>
    <row r="120" spans="1:2" x14ac:dyDescent="0.25">
      <c r="A120" t="s">
        <v>112</v>
      </c>
      <c r="B120" s="9" t="e">
        <f>t8youth2</f>
        <v>#REF!</v>
      </c>
    </row>
    <row r="121" spans="1:2" x14ac:dyDescent="0.25">
      <c r="A121" t="s">
        <v>113</v>
      </c>
      <c r="B121" s="9" t="e">
        <f>t8youth3</f>
        <v>#REF!</v>
      </c>
    </row>
    <row r="122" spans="1:2" x14ac:dyDescent="0.25">
      <c r="A122" t="s">
        <v>114</v>
      </c>
      <c r="B122" s="9" t="e">
        <f>t8youth4</f>
        <v>#REF!</v>
      </c>
    </row>
    <row r="123" spans="1:2" x14ac:dyDescent="0.25">
      <c r="A123" t="s">
        <v>233</v>
      </c>
      <c r="B123" s="9" t="e">
        <f>t8youth5</f>
        <v>#REF!</v>
      </c>
    </row>
    <row r="124" spans="1:2" x14ac:dyDescent="0.25">
      <c r="A124" t="s">
        <v>234</v>
      </c>
      <c r="B124" s="9" t="e">
        <f>t8youth6</f>
        <v>#REF!</v>
      </c>
    </row>
    <row r="125" spans="1:2" x14ac:dyDescent="0.25">
      <c r="A125" t="s">
        <v>115</v>
      </c>
      <c r="B125" s="13" t="e">
        <f>Numecodet9</f>
        <v>#REF!</v>
      </c>
    </row>
    <row r="126" spans="1:2" x14ac:dyDescent="0.25">
      <c r="A126" t="s">
        <v>117</v>
      </c>
      <c r="B126" s="10" t="e">
        <f>Numealtt9</f>
        <v>#REF!</v>
      </c>
    </row>
    <row r="127" spans="1:2" x14ac:dyDescent="0.25">
      <c r="A127" t="s">
        <v>118</v>
      </c>
      <c r="B127" s="11" t="e">
        <f>t9yobgsal</f>
        <v>#REF!</v>
      </c>
    </row>
    <row r="128" spans="1:2" x14ac:dyDescent="0.25">
      <c r="A128" t="s">
        <v>119</v>
      </c>
      <c r="B128" s="11" t="e">
        <f>t9yobgserv</f>
        <v>#REF!</v>
      </c>
    </row>
    <row r="129" spans="1:2" x14ac:dyDescent="0.25">
      <c r="A129" t="s">
        <v>120</v>
      </c>
      <c r="B129" s="11" t="e">
        <f>t9yobgprof</f>
        <v>#REF!</v>
      </c>
    </row>
    <row r="130" spans="1:2" x14ac:dyDescent="0.25">
      <c r="A130" t="s">
        <v>121</v>
      </c>
      <c r="B130" s="11" t="e">
        <f>t9yobgcbo</f>
        <v>#REF!</v>
      </c>
    </row>
    <row r="131" spans="1:2" x14ac:dyDescent="0.25">
      <c r="A131" t="s">
        <v>122</v>
      </c>
      <c r="B131" s="11" t="e">
        <f>t9yobgequip</f>
        <v>#REF!</v>
      </c>
    </row>
    <row r="132" spans="1:2" x14ac:dyDescent="0.25">
      <c r="A132" t="s">
        <v>123</v>
      </c>
      <c r="B132" s="11" t="e">
        <f>t9yobgadmin</f>
        <v>#REF!</v>
      </c>
    </row>
    <row r="133" spans="1:2" x14ac:dyDescent="0.25">
      <c r="A133" t="s">
        <v>124</v>
      </c>
      <c r="B133" s="11" t="e">
        <f>t9yobgothr1</f>
        <v>#REF!</v>
      </c>
    </row>
    <row r="134" spans="1:2" x14ac:dyDescent="0.25">
      <c r="A134" t="s">
        <v>125</v>
      </c>
      <c r="B134" s="11" t="e">
        <f>t9yobgothr2</f>
        <v>#REF!</v>
      </c>
    </row>
    <row r="135" spans="1:2" x14ac:dyDescent="0.25">
      <c r="A135" t="s">
        <v>126</v>
      </c>
      <c r="B135" s="11" t="e">
        <f>t9yobgothr3</f>
        <v>#REF!</v>
      </c>
    </row>
    <row r="136" spans="1:2" x14ac:dyDescent="0.25">
      <c r="A136" t="s">
        <v>127</v>
      </c>
      <c r="B136" s="11" t="e">
        <f>t9yobgtot</f>
        <v>#REF!</v>
      </c>
    </row>
    <row r="137" spans="1:2" x14ac:dyDescent="0.25">
      <c r="A137" t="s">
        <v>128</v>
      </c>
      <c r="B137" s="11" t="e">
        <f>t9jjcpasal</f>
        <v>#REF!</v>
      </c>
    </row>
    <row r="138" spans="1:2" x14ac:dyDescent="0.25">
      <c r="A138" t="s">
        <v>129</v>
      </c>
      <c r="B138" s="11" t="e">
        <f>t9jjcpaserv</f>
        <v>#REF!</v>
      </c>
    </row>
    <row r="139" spans="1:2" x14ac:dyDescent="0.25">
      <c r="A139" t="s">
        <v>130</v>
      </c>
      <c r="B139" s="11" t="e">
        <f>t9jjcpaprof</f>
        <v>#REF!</v>
      </c>
    </row>
    <row r="140" spans="1:2" x14ac:dyDescent="0.25">
      <c r="A140" t="s">
        <v>131</v>
      </c>
      <c r="B140" s="11" t="e">
        <f>t9jjcpacbo</f>
        <v>#REF!</v>
      </c>
    </row>
    <row r="141" spans="1:2" x14ac:dyDescent="0.25">
      <c r="A141" t="s">
        <v>132</v>
      </c>
      <c r="B141" s="11" t="e">
        <f>t9jjcpaequip</f>
        <v>#REF!</v>
      </c>
    </row>
    <row r="142" spans="1:2" x14ac:dyDescent="0.25">
      <c r="A142" t="s">
        <v>133</v>
      </c>
      <c r="B142" s="11" t="e">
        <f>t9jjcpaadmin</f>
        <v>#REF!</v>
      </c>
    </row>
    <row r="143" spans="1:2" x14ac:dyDescent="0.25">
      <c r="A143" t="s">
        <v>134</v>
      </c>
      <c r="B143" s="11" t="e">
        <f>t9jjcpaothr1</f>
        <v>#REF!</v>
      </c>
    </row>
    <row r="144" spans="1:2" x14ac:dyDescent="0.25">
      <c r="A144" t="s">
        <v>135</v>
      </c>
      <c r="B144" s="11" t="e">
        <f>t9jjcpaothr2</f>
        <v>#REF!</v>
      </c>
    </row>
    <row r="145" spans="1:2" x14ac:dyDescent="0.25">
      <c r="A145" t="s">
        <v>136</v>
      </c>
      <c r="B145" s="11" t="e">
        <f>t9jjcpaothr3</f>
        <v>#REF!</v>
      </c>
    </row>
    <row r="146" spans="1:2" x14ac:dyDescent="0.25">
      <c r="A146" t="s">
        <v>137</v>
      </c>
      <c r="B146" s="11" t="e">
        <f>t9jjcpatot</f>
        <v>#REF!</v>
      </c>
    </row>
    <row r="147" spans="1:2" x14ac:dyDescent="0.25">
      <c r="A147" t="s">
        <v>138</v>
      </c>
      <c r="B147" s="11" t="e">
        <f>t9othersal</f>
        <v>#REF!</v>
      </c>
    </row>
    <row r="148" spans="1:2" x14ac:dyDescent="0.25">
      <c r="A148" t="s">
        <v>139</v>
      </c>
      <c r="B148" s="11" t="e">
        <f>t9otherserv</f>
        <v>#REF!</v>
      </c>
    </row>
    <row r="149" spans="1:2" x14ac:dyDescent="0.25">
      <c r="A149" t="s">
        <v>140</v>
      </c>
      <c r="B149" s="11" t="e">
        <f>t9otherprof</f>
        <v>#REF!</v>
      </c>
    </row>
    <row r="150" spans="1:2" x14ac:dyDescent="0.25">
      <c r="A150" t="s">
        <v>141</v>
      </c>
      <c r="B150" s="11" t="e">
        <f>t9othercbo</f>
        <v>#REF!</v>
      </c>
    </row>
    <row r="151" spans="1:2" x14ac:dyDescent="0.25">
      <c r="A151" t="s">
        <v>142</v>
      </c>
      <c r="B151" s="11" t="e">
        <f>t9otherequip</f>
        <v>#REF!</v>
      </c>
    </row>
    <row r="152" spans="1:2" x14ac:dyDescent="0.25">
      <c r="A152" t="s">
        <v>143</v>
      </c>
      <c r="B152" s="11" t="e">
        <f>t9otheradmin</f>
        <v>#REF!</v>
      </c>
    </row>
    <row r="153" spans="1:2" x14ac:dyDescent="0.25">
      <c r="A153" t="s">
        <v>144</v>
      </c>
      <c r="B153" s="11" t="e">
        <f>t9otherothr1</f>
        <v>#REF!</v>
      </c>
    </row>
    <row r="154" spans="1:2" x14ac:dyDescent="0.25">
      <c r="A154" t="s">
        <v>145</v>
      </c>
      <c r="B154" s="11" t="e">
        <f>t9otherothr2</f>
        <v>#REF!</v>
      </c>
    </row>
    <row r="155" spans="1:2" x14ac:dyDescent="0.25">
      <c r="A155" t="s">
        <v>146</v>
      </c>
      <c r="B155" s="11" t="e">
        <f>t9otherothr3</f>
        <v>#REF!</v>
      </c>
    </row>
    <row r="156" spans="1:2" x14ac:dyDescent="0.25">
      <c r="A156" t="s">
        <v>147</v>
      </c>
      <c r="B156" s="11" t="e">
        <f>t9othertot</f>
        <v>#REF!</v>
      </c>
    </row>
    <row r="157" spans="1:2" x14ac:dyDescent="0.25">
      <c r="A157" t="s">
        <v>148</v>
      </c>
      <c r="B157" s="9" t="e">
        <f>t9casecount</f>
        <v>#REF!</v>
      </c>
    </row>
    <row r="158" spans="1:2" x14ac:dyDescent="0.25">
      <c r="A158" t="s">
        <v>149</v>
      </c>
      <c r="B158" s="12" t="e">
        <f>t9yobgpercap</f>
        <v>#REF!</v>
      </c>
    </row>
    <row r="159" spans="1:2" x14ac:dyDescent="0.25">
      <c r="A159" t="s">
        <v>150</v>
      </c>
      <c r="B159" s="12" t="e">
        <f>t9totpercap</f>
        <v>#REF!</v>
      </c>
    </row>
    <row r="160" spans="1:2" x14ac:dyDescent="0.25">
      <c r="A160" t="s">
        <v>153</v>
      </c>
      <c r="B160" s="9" t="e">
        <f>t9youth1</f>
        <v>#REF!</v>
      </c>
    </row>
    <row r="161" spans="1:2" x14ac:dyDescent="0.25">
      <c r="A161" t="s">
        <v>154</v>
      </c>
      <c r="B161" s="9" t="e">
        <f>t9youth2</f>
        <v>#REF!</v>
      </c>
    </row>
    <row r="162" spans="1:2" x14ac:dyDescent="0.25">
      <c r="A162" t="s">
        <v>155</v>
      </c>
      <c r="B162" s="9" t="e">
        <f>t9youth3</f>
        <v>#REF!</v>
      </c>
    </row>
    <row r="163" spans="1:2" x14ac:dyDescent="0.25">
      <c r="A163" t="s">
        <v>156</v>
      </c>
      <c r="B163" s="9" t="e">
        <f>t9youth4</f>
        <v>#REF!</v>
      </c>
    </row>
    <row r="164" spans="1:2" x14ac:dyDescent="0.25">
      <c r="A164" t="s">
        <v>235</v>
      </c>
      <c r="B164" s="9" t="e">
        <f>t9youth5</f>
        <v>#REF!</v>
      </c>
    </row>
    <row r="165" spans="1:2" x14ac:dyDescent="0.25">
      <c r="A165" t="s">
        <v>236</v>
      </c>
      <c r="B165" s="9" t="e">
        <f>t9youth6</f>
        <v>#REF!</v>
      </c>
    </row>
    <row r="166" spans="1:2" x14ac:dyDescent="0.25">
      <c r="A166" t="s">
        <v>158</v>
      </c>
      <c r="B166" s="13" t="e">
        <f>Numecodet10</f>
        <v>#REF!</v>
      </c>
    </row>
    <row r="167" spans="1:2" x14ac:dyDescent="0.25">
      <c r="A167" t="s">
        <v>189</v>
      </c>
      <c r="B167" s="10" t="e">
        <f>Numealtt10</f>
        <v>#REF!</v>
      </c>
    </row>
    <row r="168" spans="1:2" x14ac:dyDescent="0.25">
      <c r="A168" t="s">
        <v>328</v>
      </c>
      <c r="B168" s="11" t="e">
        <f>t10yobgsal</f>
        <v>#REF!</v>
      </c>
    </row>
    <row r="169" spans="1:2" x14ac:dyDescent="0.25">
      <c r="A169" t="s">
        <v>329</v>
      </c>
      <c r="B169" s="11" t="e">
        <f>t10yobgserv</f>
        <v>#REF!</v>
      </c>
    </row>
    <row r="170" spans="1:2" x14ac:dyDescent="0.25">
      <c r="A170" t="s">
        <v>330</v>
      </c>
      <c r="B170" s="11" t="e">
        <f>t10yobgprof</f>
        <v>#REF!</v>
      </c>
    </row>
    <row r="171" spans="1:2" x14ac:dyDescent="0.25">
      <c r="A171" t="s">
        <v>331</v>
      </c>
      <c r="B171" s="11" t="e">
        <f>t10yobgcbo</f>
        <v>#REF!</v>
      </c>
    </row>
    <row r="172" spans="1:2" x14ac:dyDescent="0.25">
      <c r="A172" t="s">
        <v>332</v>
      </c>
      <c r="B172" s="11" t="e">
        <f>t10yobgequip</f>
        <v>#REF!</v>
      </c>
    </row>
    <row r="173" spans="1:2" x14ac:dyDescent="0.25">
      <c r="A173" t="s">
        <v>333</v>
      </c>
      <c r="B173" s="11" t="e">
        <f>t10yobgadmin</f>
        <v>#REF!</v>
      </c>
    </row>
    <row r="174" spans="1:2" x14ac:dyDescent="0.25">
      <c r="A174" t="s">
        <v>334</v>
      </c>
      <c r="B174" s="11" t="e">
        <f>t10yobgothr1</f>
        <v>#REF!</v>
      </c>
    </row>
    <row r="175" spans="1:2" x14ac:dyDescent="0.25">
      <c r="A175" t="s">
        <v>335</v>
      </c>
      <c r="B175" s="11" t="e">
        <f>t10yobgothr2</f>
        <v>#REF!</v>
      </c>
    </row>
    <row r="176" spans="1:2" x14ac:dyDescent="0.25">
      <c r="A176" t="s">
        <v>336</v>
      </c>
      <c r="B176" s="11" t="e">
        <f>t10yobgothr3</f>
        <v>#REF!</v>
      </c>
    </row>
    <row r="177" spans="1:2" x14ac:dyDescent="0.25">
      <c r="A177" t="s">
        <v>337</v>
      </c>
      <c r="B177" s="11" t="e">
        <f>t10yobgtot</f>
        <v>#REF!</v>
      </c>
    </row>
    <row r="178" spans="1:2" x14ac:dyDescent="0.25">
      <c r="A178" t="s">
        <v>338</v>
      </c>
      <c r="B178" s="11" t="e">
        <f>t10jjcpasal</f>
        <v>#REF!</v>
      </c>
    </row>
    <row r="179" spans="1:2" x14ac:dyDescent="0.25">
      <c r="A179" t="s">
        <v>339</v>
      </c>
      <c r="B179" s="11" t="e">
        <f>t10jjcpaserv</f>
        <v>#REF!</v>
      </c>
    </row>
    <row r="180" spans="1:2" x14ac:dyDescent="0.25">
      <c r="A180" t="s">
        <v>340</v>
      </c>
      <c r="B180" s="11" t="e">
        <f>t10jjcpaprof</f>
        <v>#REF!</v>
      </c>
    </row>
    <row r="181" spans="1:2" x14ac:dyDescent="0.25">
      <c r="A181" t="s">
        <v>341</v>
      </c>
      <c r="B181" s="11" t="e">
        <f>t10jjcpacbo</f>
        <v>#REF!</v>
      </c>
    </row>
    <row r="182" spans="1:2" x14ac:dyDescent="0.25">
      <c r="A182" t="s">
        <v>342</v>
      </c>
      <c r="B182" s="11" t="e">
        <f>t10jjcpaequip</f>
        <v>#REF!</v>
      </c>
    </row>
    <row r="183" spans="1:2" x14ac:dyDescent="0.25">
      <c r="A183" t="s">
        <v>343</v>
      </c>
      <c r="B183" s="11" t="e">
        <f>t10jjcpaadmin</f>
        <v>#REF!</v>
      </c>
    </row>
    <row r="184" spans="1:2" x14ac:dyDescent="0.25">
      <c r="A184" t="s">
        <v>344</v>
      </c>
      <c r="B184" s="11" t="e">
        <f>t10jjcpaothr1</f>
        <v>#REF!</v>
      </c>
    </row>
    <row r="185" spans="1:2" x14ac:dyDescent="0.25">
      <c r="A185" t="s">
        <v>345</v>
      </c>
      <c r="B185" s="11" t="e">
        <f>t10jjcpaothr2</f>
        <v>#REF!</v>
      </c>
    </row>
    <row r="186" spans="1:2" x14ac:dyDescent="0.25">
      <c r="A186" t="s">
        <v>346</v>
      </c>
      <c r="B186" s="11" t="e">
        <f>t10jjcpaothr3</f>
        <v>#REF!</v>
      </c>
    </row>
    <row r="187" spans="1:2" x14ac:dyDescent="0.25">
      <c r="A187" t="s">
        <v>347</v>
      </c>
      <c r="B187" s="11" t="e">
        <f>t10jjcpatot</f>
        <v>#REF!</v>
      </c>
    </row>
    <row r="188" spans="1:2" x14ac:dyDescent="0.25">
      <c r="A188" t="s">
        <v>348</v>
      </c>
      <c r="B188" s="11" t="e">
        <f>t10othersal</f>
        <v>#REF!</v>
      </c>
    </row>
    <row r="189" spans="1:2" x14ac:dyDescent="0.25">
      <c r="A189" t="s">
        <v>349</v>
      </c>
      <c r="B189" s="11" t="e">
        <f>t10otherserv</f>
        <v>#REF!</v>
      </c>
    </row>
    <row r="190" spans="1:2" x14ac:dyDescent="0.25">
      <c r="A190" t="s">
        <v>350</v>
      </c>
      <c r="B190" s="11" t="e">
        <f>t10otherprof</f>
        <v>#REF!</v>
      </c>
    </row>
    <row r="191" spans="1:2" x14ac:dyDescent="0.25">
      <c r="A191" t="s">
        <v>351</v>
      </c>
      <c r="B191" s="11" t="e">
        <f>t10othercbo</f>
        <v>#REF!</v>
      </c>
    </row>
    <row r="192" spans="1:2" x14ac:dyDescent="0.25">
      <c r="A192" t="s">
        <v>352</v>
      </c>
      <c r="B192" s="11" t="e">
        <f>t10otherequip</f>
        <v>#REF!</v>
      </c>
    </row>
    <row r="193" spans="1:2" x14ac:dyDescent="0.25">
      <c r="A193" t="s">
        <v>353</v>
      </c>
      <c r="B193" s="11" t="e">
        <f>t10otheradmin</f>
        <v>#REF!</v>
      </c>
    </row>
    <row r="194" spans="1:2" x14ac:dyDescent="0.25">
      <c r="A194" t="s">
        <v>354</v>
      </c>
      <c r="B194" s="11" t="e">
        <f>t10otherothr1</f>
        <v>#REF!</v>
      </c>
    </row>
    <row r="195" spans="1:2" x14ac:dyDescent="0.25">
      <c r="A195" t="s">
        <v>355</v>
      </c>
      <c r="B195" s="11" t="e">
        <f>t10otherothr2</f>
        <v>#REF!</v>
      </c>
    </row>
    <row r="196" spans="1:2" x14ac:dyDescent="0.25">
      <c r="A196" t="s">
        <v>356</v>
      </c>
      <c r="B196" s="11" t="e">
        <f>t10otherothr3</f>
        <v>#REF!</v>
      </c>
    </row>
    <row r="197" spans="1:2" x14ac:dyDescent="0.25">
      <c r="A197" t="s">
        <v>357</v>
      </c>
      <c r="B197" s="11" t="e">
        <f>t10othertot</f>
        <v>#REF!</v>
      </c>
    </row>
    <row r="198" spans="1:2" x14ac:dyDescent="0.25">
      <c r="A198" t="s">
        <v>358</v>
      </c>
      <c r="B198" s="9" t="e">
        <f>t10casecount</f>
        <v>#REF!</v>
      </c>
    </row>
    <row r="199" spans="1:2" x14ac:dyDescent="0.25">
      <c r="A199" t="s">
        <v>157</v>
      </c>
      <c r="B199" s="12" t="e">
        <f>t10yobgpercap</f>
        <v>#REF!</v>
      </c>
    </row>
    <row r="200" spans="1:2" x14ac:dyDescent="0.25">
      <c r="A200" t="s">
        <v>359</v>
      </c>
      <c r="B200" s="12" t="e">
        <f>t10totpercap</f>
        <v>#REF!</v>
      </c>
    </row>
    <row r="201" spans="1:2" x14ac:dyDescent="0.25">
      <c r="A201" t="s">
        <v>361</v>
      </c>
      <c r="B201" s="9" t="e">
        <f>t10youth1</f>
        <v>#REF!</v>
      </c>
    </row>
    <row r="202" spans="1:2" x14ac:dyDescent="0.25">
      <c r="A202" t="s">
        <v>362</v>
      </c>
      <c r="B202" s="9" t="e">
        <f>t10youth2</f>
        <v>#REF!</v>
      </c>
    </row>
    <row r="203" spans="1:2" x14ac:dyDescent="0.25">
      <c r="A203" t="s">
        <v>363</v>
      </c>
      <c r="B203" s="9" t="e">
        <f>t10youth3</f>
        <v>#REF!</v>
      </c>
    </row>
    <row r="204" spans="1:2" x14ac:dyDescent="0.25">
      <c r="A204" t="s">
        <v>364</v>
      </c>
      <c r="B204" s="9" t="e">
        <f>t10youth4</f>
        <v>#REF!</v>
      </c>
    </row>
    <row r="205" spans="1:2" x14ac:dyDescent="0.25">
      <c r="A205" t="s">
        <v>237</v>
      </c>
      <c r="B205" s="9" t="e">
        <f>t10youth5</f>
        <v>#REF!</v>
      </c>
    </row>
    <row r="206" spans="1:2" x14ac:dyDescent="0.25">
      <c r="A206" t="s">
        <v>238</v>
      </c>
      <c r="B206" s="9" t="e">
        <f>t10youth6</f>
        <v>#REF!</v>
      </c>
    </row>
    <row r="207" spans="1:2" x14ac:dyDescent="0.25">
      <c r="A207" t="s">
        <v>239</v>
      </c>
      <c r="B207" s="9">
        <f>asi</f>
        <v>0</v>
      </c>
    </row>
    <row r="208" spans="1:2" x14ac:dyDescent="0.25">
      <c r="A208" t="s">
        <v>370</v>
      </c>
      <c r="B208" s="9">
        <f>bot</f>
        <v>0</v>
      </c>
    </row>
    <row r="209" spans="1:2" x14ac:dyDescent="0.25">
      <c r="A209" t="s">
        <v>240</v>
      </c>
      <c r="B209" s="9">
        <f>COMPAS</f>
        <v>0</v>
      </c>
    </row>
    <row r="210" spans="1:2" x14ac:dyDescent="0.25">
      <c r="A210" t="s">
        <v>241</v>
      </c>
      <c r="B210" s="9">
        <f>JAIS</f>
        <v>0</v>
      </c>
    </row>
    <row r="211" spans="1:2" x14ac:dyDescent="0.25">
      <c r="A211" t="s">
        <v>242</v>
      </c>
      <c r="B211" s="9">
        <f>LSIR</f>
        <v>0</v>
      </c>
    </row>
    <row r="212" spans="1:2" x14ac:dyDescent="0.25">
      <c r="A212" t="s">
        <v>243</v>
      </c>
      <c r="B212" s="9">
        <f>MAYSI2</f>
        <v>0</v>
      </c>
    </row>
    <row r="213" spans="1:2" x14ac:dyDescent="0.25">
      <c r="A213" t="s">
        <v>244</v>
      </c>
      <c r="B213" s="9">
        <f>MAYSI</f>
        <v>0</v>
      </c>
    </row>
    <row r="214" spans="1:2" x14ac:dyDescent="0.25">
      <c r="A214" t="s">
        <v>245</v>
      </c>
      <c r="B214" s="9">
        <f>NIC</f>
        <v>0</v>
      </c>
    </row>
    <row r="215" spans="1:2" x14ac:dyDescent="0.25">
      <c r="A215" t="s">
        <v>246</v>
      </c>
      <c r="B215" s="9">
        <f>PACT</f>
        <v>0</v>
      </c>
    </row>
    <row r="216" spans="1:2" x14ac:dyDescent="0.25">
      <c r="A216" t="s">
        <v>247</v>
      </c>
      <c r="B216" s="9">
        <f>RRC</f>
        <v>0</v>
      </c>
    </row>
    <row r="217" spans="1:2" x14ac:dyDescent="0.25">
      <c r="A217" t="s">
        <v>248</v>
      </c>
      <c r="B217" s="9">
        <f>YLSCMI</f>
        <v>0</v>
      </c>
    </row>
    <row r="218" spans="1:2" x14ac:dyDescent="0.25">
      <c r="A218" t="s">
        <v>249</v>
      </c>
      <c r="B218" s="9">
        <f>othrassessmentname1</f>
        <v>0</v>
      </c>
    </row>
    <row r="219" spans="1:2" x14ac:dyDescent="0.25">
      <c r="A219" t="s">
        <v>253</v>
      </c>
      <c r="B219" s="9">
        <f>othrassess1</f>
        <v>0</v>
      </c>
    </row>
    <row r="220" spans="1:2" x14ac:dyDescent="0.25">
      <c r="A220" t="s">
        <v>251</v>
      </c>
      <c r="B220" s="9">
        <f>othrassessmentname2</f>
        <v>0</v>
      </c>
    </row>
    <row r="221" spans="1:2" x14ac:dyDescent="0.25">
      <c r="A221" t="s">
        <v>254</v>
      </c>
      <c r="B221" s="9">
        <f>othrassess2</f>
        <v>0</v>
      </c>
    </row>
    <row r="222" spans="1:2" x14ac:dyDescent="0.25">
      <c r="A222" t="s">
        <v>252</v>
      </c>
      <c r="B222" s="9">
        <f>othrassessmentname3</f>
        <v>0</v>
      </c>
    </row>
    <row r="223" spans="1:2" x14ac:dyDescent="0.25">
      <c r="A223" t="s">
        <v>255</v>
      </c>
      <c r="B223" s="9">
        <f>othrassess3</f>
        <v>0</v>
      </c>
    </row>
    <row r="224" spans="1:2" x14ac:dyDescent="0.25">
      <c r="A224" t="s">
        <v>211</v>
      </c>
      <c r="B224" s="9">
        <f>othrassessmentname4</f>
        <v>0</v>
      </c>
    </row>
    <row r="225" spans="1:2" x14ac:dyDescent="0.25">
      <c r="A225" t="s">
        <v>212</v>
      </c>
      <c r="B225" s="9">
        <f>othrassess4</f>
        <v>0</v>
      </c>
    </row>
  </sheetData>
  <sheetProtection password="CB13" sheet="1" objects="1" scenarios="1"/>
  <phoneticPr fontId="2"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B210"/>
  <sheetViews>
    <sheetView workbookViewId="0">
      <selection activeCell="H26" sqref="H26:I26"/>
    </sheetView>
  </sheetViews>
  <sheetFormatPr defaultRowHeight="13.2" x14ac:dyDescent="0.25"/>
  <cols>
    <col min="1" max="1" width="37.88671875" customWidth="1"/>
    <col min="2" max="2" width="41.5546875" customWidth="1"/>
  </cols>
  <sheetData>
    <row r="1" spans="1:2" x14ac:dyDescent="0.25">
      <c r="A1" t="s">
        <v>539</v>
      </c>
      <c r="B1" s="23" t="str">
        <f>County</f>
        <v>Alameda</v>
      </c>
    </row>
    <row r="2" spans="1:2" x14ac:dyDescent="0.25">
      <c r="A2" t="s">
        <v>261</v>
      </c>
      <c r="B2" s="9">
        <f>coord1</f>
        <v>0</v>
      </c>
    </row>
    <row r="3" spans="1:2" x14ac:dyDescent="0.25">
      <c r="A3" t="s">
        <v>260</v>
      </c>
      <c r="B3" s="9">
        <f>coord2</f>
        <v>0</v>
      </c>
    </row>
    <row r="4" spans="1:2" x14ac:dyDescent="0.25">
      <c r="A4" s="1" t="s">
        <v>256</v>
      </c>
      <c r="B4" s="31">
        <f>strategy</f>
        <v>0</v>
      </c>
    </row>
    <row r="5" spans="1:2" x14ac:dyDescent="0.25">
      <c r="A5" s="1" t="s">
        <v>257</v>
      </c>
      <c r="B5" s="31">
        <f>stratnar</f>
        <v>0</v>
      </c>
    </row>
    <row r="6" spans="1:2" x14ac:dyDescent="0.25">
      <c r="A6" s="1" t="s">
        <v>258</v>
      </c>
      <c r="B6" s="31">
        <f>stratdf</f>
        <v>0</v>
      </c>
    </row>
    <row r="7" spans="1:2" x14ac:dyDescent="0.25">
      <c r="A7" s="1" t="s">
        <v>259</v>
      </c>
      <c r="B7" s="31">
        <f>stratplan</f>
        <v>0</v>
      </c>
    </row>
    <row r="8" spans="1:2" x14ac:dyDescent="0.25">
      <c r="A8" s="1" t="s">
        <v>263</v>
      </c>
      <c r="B8" s="31">
        <f>coordnar</f>
        <v>0</v>
      </c>
    </row>
    <row r="9" spans="1:2" x14ac:dyDescent="0.25">
      <c r="A9" s="1" t="s">
        <v>262</v>
      </c>
      <c r="B9" s="1">
        <f>regional</f>
        <v>0</v>
      </c>
    </row>
    <row r="10" spans="1:2" x14ac:dyDescent="0.25">
      <c r="A10" t="s">
        <v>585</v>
      </c>
      <c r="B10" s="10" t="e">
        <f>Numecodet1</f>
        <v>#REF!</v>
      </c>
    </row>
    <row r="11" spans="1:2" x14ac:dyDescent="0.25">
      <c r="A11" t="s">
        <v>586</v>
      </c>
      <c r="B11" s="10" t="e">
        <f>Numealtt1</f>
        <v>#REF!</v>
      </c>
    </row>
    <row r="12" spans="1:2" x14ac:dyDescent="0.25">
      <c r="A12" t="s">
        <v>301</v>
      </c>
      <c r="B12" s="10" t="e">
        <f>JJCPAt1</f>
        <v>#REF!</v>
      </c>
    </row>
    <row r="13" spans="1:2" x14ac:dyDescent="0.25">
      <c r="A13" t="s">
        <v>302</v>
      </c>
      <c r="B13" s="10" t="e">
        <f>Othert1</f>
        <v>#REF!</v>
      </c>
    </row>
    <row r="14" spans="1:2" x14ac:dyDescent="0.25">
      <c r="A14" t="s">
        <v>574</v>
      </c>
      <c r="B14" s="9" t="e">
        <f>t1casecount</f>
        <v>#REF!</v>
      </c>
    </row>
    <row r="15" spans="1:2" x14ac:dyDescent="0.25">
      <c r="A15" t="s">
        <v>575</v>
      </c>
      <c r="B15" s="12" t="e">
        <f>t1yobgpercap</f>
        <v>#REF!</v>
      </c>
    </row>
    <row r="16" spans="1:2" x14ac:dyDescent="0.25">
      <c r="A16" t="s">
        <v>576</v>
      </c>
      <c r="B16" s="12" t="e">
        <f>t1totpercap</f>
        <v>#REF!</v>
      </c>
    </row>
    <row r="17" spans="1:2" x14ac:dyDescent="0.25">
      <c r="A17" t="s">
        <v>577</v>
      </c>
      <c r="B17" t="e">
        <f>t1nar</f>
        <v>#REF!</v>
      </c>
    </row>
    <row r="18" spans="1:2" x14ac:dyDescent="0.25">
      <c r="A18" t="s">
        <v>215</v>
      </c>
      <c r="B18" t="e">
        <f>t1goal</f>
        <v>#REF!</v>
      </c>
    </row>
    <row r="19" spans="1:2" x14ac:dyDescent="0.25">
      <c r="A19" t="s">
        <v>286</v>
      </c>
      <c r="B19" t="e">
        <f>t1barrier</f>
        <v>#REF!</v>
      </c>
    </row>
    <row r="20" spans="1:2" x14ac:dyDescent="0.25">
      <c r="A20" t="s">
        <v>216</v>
      </c>
      <c r="B20" t="e">
        <f>t1funds</f>
        <v>#REF!</v>
      </c>
    </row>
    <row r="21" spans="1:2" x14ac:dyDescent="0.25">
      <c r="A21" t="s">
        <v>159</v>
      </c>
      <c r="B21" t="str">
        <f>t1other1</f>
        <v>Internal Services Fund</v>
      </c>
    </row>
    <row r="22" spans="1:2" x14ac:dyDescent="0.25">
      <c r="A22" t="s">
        <v>160</v>
      </c>
      <c r="B22">
        <f>t1other2</f>
        <v>0</v>
      </c>
    </row>
    <row r="23" spans="1:2" x14ac:dyDescent="0.25">
      <c r="A23" t="s">
        <v>161</v>
      </c>
      <c r="B23">
        <f>t1other3</f>
        <v>0</v>
      </c>
    </row>
    <row r="24" spans="1:2" x14ac:dyDescent="0.25">
      <c r="A24" t="s">
        <v>587</v>
      </c>
      <c r="B24" s="13" t="e">
        <f>Numecodet2</f>
        <v>#REF!</v>
      </c>
    </row>
    <row r="25" spans="1:2" x14ac:dyDescent="0.25">
      <c r="A25" t="s">
        <v>588</v>
      </c>
      <c r="B25" s="10" t="e">
        <f>Numealtt2</f>
        <v>#REF!</v>
      </c>
    </row>
    <row r="26" spans="1:2" x14ac:dyDescent="0.25">
      <c r="A26" t="s">
        <v>303</v>
      </c>
      <c r="B26" s="10" t="e">
        <f>JJCPAt2</f>
        <v>#REF!</v>
      </c>
    </row>
    <row r="27" spans="1:2" x14ac:dyDescent="0.25">
      <c r="A27" t="s">
        <v>304</v>
      </c>
      <c r="B27" s="10" t="e">
        <f>Othert2</f>
        <v>#REF!</v>
      </c>
    </row>
    <row r="28" spans="1:2" x14ac:dyDescent="0.25">
      <c r="A28" t="s">
        <v>619</v>
      </c>
      <c r="B28" s="9" t="e">
        <f>t2casecount</f>
        <v>#REF!</v>
      </c>
    </row>
    <row r="29" spans="1:2" x14ac:dyDescent="0.25">
      <c r="A29" t="s">
        <v>620</v>
      </c>
      <c r="B29" s="12" t="e">
        <f>t2yobgpercap</f>
        <v>#REF!</v>
      </c>
    </row>
    <row r="30" spans="1:2" x14ac:dyDescent="0.25">
      <c r="A30" t="s">
        <v>621</v>
      </c>
      <c r="B30" s="12" t="e">
        <f>t2totpercap</f>
        <v>#REF!</v>
      </c>
    </row>
    <row r="31" spans="1:2" x14ac:dyDescent="0.25">
      <c r="A31" t="s">
        <v>661</v>
      </c>
      <c r="B31" t="e">
        <f>t2nar</f>
        <v>#REF!</v>
      </c>
    </row>
    <row r="32" spans="1:2" x14ac:dyDescent="0.25">
      <c r="A32" t="s">
        <v>267</v>
      </c>
      <c r="B32" t="e">
        <f>t2goal</f>
        <v>#REF!</v>
      </c>
    </row>
    <row r="33" spans="1:2" x14ac:dyDescent="0.25">
      <c r="A33" t="s">
        <v>287</v>
      </c>
      <c r="B33" t="e">
        <f>t2barrier</f>
        <v>#REF!</v>
      </c>
    </row>
    <row r="34" spans="1:2" x14ac:dyDescent="0.25">
      <c r="A34" t="s">
        <v>268</v>
      </c>
      <c r="B34" t="e">
        <f>t2funds</f>
        <v>#REF!</v>
      </c>
    </row>
    <row r="35" spans="1:2" x14ac:dyDescent="0.25">
      <c r="A35" t="s">
        <v>162</v>
      </c>
      <c r="B35" t="e">
        <f>t2other1</f>
        <v>#REF!</v>
      </c>
    </row>
    <row r="36" spans="1:2" x14ac:dyDescent="0.25">
      <c r="A36" t="s">
        <v>163</v>
      </c>
      <c r="B36" t="e">
        <f>t2other2</f>
        <v>#REF!</v>
      </c>
    </row>
    <row r="37" spans="1:2" x14ac:dyDescent="0.25">
      <c r="A37" t="s">
        <v>164</v>
      </c>
      <c r="B37" t="e">
        <f>t2other3</f>
        <v>#REF!</v>
      </c>
    </row>
    <row r="38" spans="1:2" x14ac:dyDescent="0.25">
      <c r="A38" t="s">
        <v>626</v>
      </c>
      <c r="B38" s="13" t="e">
        <f>Numecodet3</f>
        <v>#REF!</v>
      </c>
    </row>
    <row r="39" spans="1:2" x14ac:dyDescent="0.25">
      <c r="A39" t="s">
        <v>627</v>
      </c>
      <c r="B39" s="10" t="e">
        <f>Numealtt3</f>
        <v>#REF!</v>
      </c>
    </row>
    <row r="40" spans="1:2" x14ac:dyDescent="0.25">
      <c r="A40" t="s">
        <v>305</v>
      </c>
      <c r="B40" s="10" t="e">
        <f>JJCPAt3</f>
        <v>#REF!</v>
      </c>
    </row>
    <row r="41" spans="1:2" x14ac:dyDescent="0.25">
      <c r="A41" t="s">
        <v>306</v>
      </c>
      <c r="B41" s="10" t="e">
        <f>Othert3</f>
        <v>#REF!</v>
      </c>
    </row>
    <row r="42" spans="1:2" x14ac:dyDescent="0.25">
      <c r="A42" t="s">
        <v>658</v>
      </c>
      <c r="B42" s="9" t="e">
        <f>t3casecount</f>
        <v>#REF!</v>
      </c>
    </row>
    <row r="43" spans="1:2" x14ac:dyDescent="0.25">
      <c r="A43" t="s">
        <v>659</v>
      </c>
      <c r="B43" s="12" t="e">
        <f>t3yobgpercap</f>
        <v>#REF!</v>
      </c>
    </row>
    <row r="44" spans="1:2" x14ac:dyDescent="0.25">
      <c r="A44" t="s">
        <v>660</v>
      </c>
      <c r="B44" s="12" t="e">
        <f>t3totpercap</f>
        <v>#REF!</v>
      </c>
    </row>
    <row r="45" spans="1:2" x14ac:dyDescent="0.25">
      <c r="A45" t="s">
        <v>662</v>
      </c>
      <c r="B45" t="e">
        <f>t3nar</f>
        <v>#REF!</v>
      </c>
    </row>
    <row r="46" spans="1:2" x14ac:dyDescent="0.25">
      <c r="A46" t="s">
        <v>269</v>
      </c>
      <c r="B46" t="e">
        <f>t3goal</f>
        <v>#REF!</v>
      </c>
    </row>
    <row r="47" spans="1:2" x14ac:dyDescent="0.25">
      <c r="A47" t="s">
        <v>288</v>
      </c>
      <c r="B47" t="e">
        <f>t3barrier</f>
        <v>#REF!</v>
      </c>
    </row>
    <row r="48" spans="1:2" x14ac:dyDescent="0.25">
      <c r="A48" t="s">
        <v>270</v>
      </c>
      <c r="B48" t="e">
        <f>t3funds</f>
        <v>#REF!</v>
      </c>
    </row>
    <row r="49" spans="1:2" x14ac:dyDescent="0.25">
      <c r="A49" t="s">
        <v>165</v>
      </c>
      <c r="B49" t="e">
        <f>t3other1</f>
        <v>#REF!</v>
      </c>
    </row>
    <row r="50" spans="1:2" x14ac:dyDescent="0.25">
      <c r="A50" t="s">
        <v>166</v>
      </c>
      <c r="B50" t="e">
        <f>t3other2</f>
        <v>#REF!</v>
      </c>
    </row>
    <row r="51" spans="1:2" x14ac:dyDescent="0.25">
      <c r="A51" t="s">
        <v>167</v>
      </c>
      <c r="B51" t="e">
        <f>t3other3</f>
        <v>#REF!</v>
      </c>
    </row>
    <row r="52" spans="1:2" x14ac:dyDescent="0.25">
      <c r="A52" t="s">
        <v>667</v>
      </c>
      <c r="B52" s="13" t="e">
        <f>Numecodet4</f>
        <v>#REF!</v>
      </c>
    </row>
    <row r="53" spans="1:2" x14ac:dyDescent="0.25">
      <c r="A53" t="s">
        <v>668</v>
      </c>
      <c r="B53" s="10" t="e">
        <f>Numealtt4</f>
        <v>#REF!</v>
      </c>
    </row>
    <row r="54" spans="1:2" x14ac:dyDescent="0.25">
      <c r="A54" t="s">
        <v>307</v>
      </c>
      <c r="B54" s="10" t="e">
        <f>JJCPAt4</f>
        <v>#REF!</v>
      </c>
    </row>
    <row r="55" spans="1:2" x14ac:dyDescent="0.25">
      <c r="A55" t="s">
        <v>308</v>
      </c>
      <c r="B55" s="10" t="e">
        <f>Othert4</f>
        <v>#REF!</v>
      </c>
    </row>
    <row r="56" spans="1:2" x14ac:dyDescent="0.25">
      <c r="A56" t="s">
        <v>699</v>
      </c>
      <c r="B56" s="9" t="e">
        <f>t4casecount</f>
        <v>#REF!</v>
      </c>
    </row>
    <row r="57" spans="1:2" x14ac:dyDescent="0.25">
      <c r="A57" t="s">
        <v>700</v>
      </c>
      <c r="B57" s="12" t="e">
        <f>t4yobgpercap</f>
        <v>#REF!</v>
      </c>
    </row>
    <row r="58" spans="1:2" x14ac:dyDescent="0.25">
      <c r="A58" t="s">
        <v>701</v>
      </c>
      <c r="B58" s="12" t="e">
        <f>t4totpercap</f>
        <v>#REF!</v>
      </c>
    </row>
    <row r="59" spans="1:2" x14ac:dyDescent="0.25">
      <c r="A59" t="s">
        <v>702</v>
      </c>
      <c r="B59" t="e">
        <f>t4nar</f>
        <v>#REF!</v>
      </c>
    </row>
    <row r="60" spans="1:2" x14ac:dyDescent="0.25">
      <c r="A60" t="s">
        <v>271</v>
      </c>
      <c r="B60" t="e">
        <f>t4goal</f>
        <v>#REF!</v>
      </c>
    </row>
    <row r="61" spans="1:2" x14ac:dyDescent="0.25">
      <c r="A61" t="s">
        <v>289</v>
      </c>
      <c r="B61" t="e">
        <f>t4barrier</f>
        <v>#REF!</v>
      </c>
    </row>
    <row r="62" spans="1:2" x14ac:dyDescent="0.25">
      <c r="A62" t="s">
        <v>272</v>
      </c>
      <c r="B62" t="e">
        <f>t4funds</f>
        <v>#REF!</v>
      </c>
    </row>
    <row r="63" spans="1:2" x14ac:dyDescent="0.25">
      <c r="A63" t="s">
        <v>168</v>
      </c>
      <c r="B63" t="e">
        <f>t4other1</f>
        <v>#REF!</v>
      </c>
    </row>
    <row r="64" spans="1:2" x14ac:dyDescent="0.25">
      <c r="A64" t="s">
        <v>169</v>
      </c>
      <c r="B64" t="e">
        <f>t4other2</f>
        <v>#REF!</v>
      </c>
    </row>
    <row r="65" spans="1:2" x14ac:dyDescent="0.25">
      <c r="A65" t="s">
        <v>170</v>
      </c>
      <c r="B65" t="e">
        <f>t4other3</f>
        <v>#REF!</v>
      </c>
    </row>
    <row r="66" spans="1:2" x14ac:dyDescent="0.25">
      <c r="A66" t="s">
        <v>707</v>
      </c>
      <c r="B66" s="13" t="e">
        <f>Numecodet5</f>
        <v>#REF!</v>
      </c>
    </row>
    <row r="67" spans="1:2" x14ac:dyDescent="0.25">
      <c r="A67" t="s">
        <v>708</v>
      </c>
      <c r="B67" s="10" t="e">
        <f>Numealtt5</f>
        <v>#REF!</v>
      </c>
    </row>
    <row r="68" spans="1:2" x14ac:dyDescent="0.25">
      <c r="A68" t="s">
        <v>309</v>
      </c>
      <c r="B68" s="10" t="e">
        <f>JJCPAt5</f>
        <v>#REF!</v>
      </c>
    </row>
    <row r="69" spans="1:2" x14ac:dyDescent="0.25">
      <c r="A69" t="s">
        <v>310</v>
      </c>
      <c r="B69" s="10" t="e">
        <f>Othert5</f>
        <v>#REF!</v>
      </c>
    </row>
    <row r="70" spans="1:2" x14ac:dyDescent="0.25">
      <c r="A70" t="s">
        <v>739</v>
      </c>
      <c r="B70" s="9" t="e">
        <f>t5casecount</f>
        <v>#REF!</v>
      </c>
    </row>
    <row r="71" spans="1:2" x14ac:dyDescent="0.25">
      <c r="A71" t="s">
        <v>740</v>
      </c>
      <c r="B71" s="12" t="e">
        <f>t5yobgpercap</f>
        <v>#REF!</v>
      </c>
    </row>
    <row r="72" spans="1:2" x14ac:dyDescent="0.25">
      <c r="A72" t="s">
        <v>741</v>
      </c>
      <c r="B72" s="12" t="e">
        <f>t5totpercap</f>
        <v>#REF!</v>
      </c>
    </row>
    <row r="73" spans="1:2" x14ac:dyDescent="0.25">
      <c r="A73" t="s">
        <v>742</v>
      </c>
      <c r="B73" t="e">
        <f>t5nar</f>
        <v>#REF!</v>
      </c>
    </row>
    <row r="74" spans="1:2" x14ac:dyDescent="0.25">
      <c r="A74" t="s">
        <v>273</v>
      </c>
      <c r="B74" t="e">
        <f>t5goal</f>
        <v>#REF!</v>
      </c>
    </row>
    <row r="75" spans="1:2" x14ac:dyDescent="0.25">
      <c r="A75" t="s">
        <v>290</v>
      </c>
      <c r="B75" t="e">
        <f>t5barrier</f>
        <v>#REF!</v>
      </c>
    </row>
    <row r="76" spans="1:2" x14ac:dyDescent="0.25">
      <c r="A76" t="s">
        <v>274</v>
      </c>
      <c r="B76" t="e">
        <f>t5funds</f>
        <v>#REF!</v>
      </c>
    </row>
    <row r="77" spans="1:2" x14ac:dyDescent="0.25">
      <c r="A77" t="s">
        <v>171</v>
      </c>
      <c r="B77" t="e">
        <f>t5other1</f>
        <v>#REF!</v>
      </c>
    </row>
    <row r="78" spans="1:2" x14ac:dyDescent="0.25">
      <c r="A78" t="s">
        <v>172</v>
      </c>
      <c r="B78" t="e">
        <f>t5other2</f>
        <v>#REF!</v>
      </c>
    </row>
    <row r="79" spans="1:2" x14ac:dyDescent="0.25">
      <c r="A79" t="s">
        <v>173</v>
      </c>
      <c r="B79" t="e">
        <f>t5other3</f>
        <v>#REF!</v>
      </c>
    </row>
    <row r="80" spans="1:2" x14ac:dyDescent="0.25">
      <c r="A80" t="s">
        <v>747</v>
      </c>
      <c r="B80" s="13" t="e">
        <f>Numecodet6</f>
        <v>#REF!</v>
      </c>
    </row>
    <row r="81" spans="1:2" x14ac:dyDescent="0.25">
      <c r="A81" t="s">
        <v>748</v>
      </c>
      <c r="B81" s="10" t="e">
        <f>Numealtt6</f>
        <v>#REF!</v>
      </c>
    </row>
    <row r="82" spans="1:2" x14ac:dyDescent="0.25">
      <c r="A82" t="s">
        <v>311</v>
      </c>
      <c r="B82" s="10" t="e">
        <f>JJCPAt6</f>
        <v>#REF!</v>
      </c>
    </row>
    <row r="83" spans="1:2" x14ac:dyDescent="0.25">
      <c r="A83" t="s">
        <v>312</v>
      </c>
      <c r="B83" s="10" t="e">
        <f>Othert6</f>
        <v>#REF!</v>
      </c>
    </row>
    <row r="84" spans="1:2" x14ac:dyDescent="0.25">
      <c r="A84" t="s">
        <v>28</v>
      </c>
      <c r="B84" s="9" t="e">
        <f>t6casecount</f>
        <v>#REF!</v>
      </c>
    </row>
    <row r="85" spans="1:2" x14ac:dyDescent="0.25">
      <c r="A85" t="s">
        <v>29</v>
      </c>
      <c r="B85" s="12" t="e">
        <f>t6yobgpercap</f>
        <v>#REF!</v>
      </c>
    </row>
    <row r="86" spans="1:2" x14ac:dyDescent="0.25">
      <c r="A86" t="s">
        <v>30</v>
      </c>
      <c r="B86" s="12" t="e">
        <f>t6totpercap</f>
        <v>#REF!</v>
      </c>
    </row>
    <row r="87" spans="1:2" x14ac:dyDescent="0.25">
      <c r="A87" t="s">
        <v>31</v>
      </c>
      <c r="B87" t="e">
        <f>t6nar</f>
        <v>#REF!</v>
      </c>
    </row>
    <row r="88" spans="1:2" x14ac:dyDescent="0.25">
      <c r="A88" t="s">
        <v>275</v>
      </c>
      <c r="B88" t="e">
        <f>t6goal</f>
        <v>#REF!</v>
      </c>
    </row>
    <row r="89" spans="1:2" x14ac:dyDescent="0.25">
      <c r="A89" t="s">
        <v>291</v>
      </c>
      <c r="B89" t="e">
        <f>t6barrier</f>
        <v>#REF!</v>
      </c>
    </row>
    <row r="90" spans="1:2" x14ac:dyDescent="0.25">
      <c r="A90" t="s">
        <v>276</v>
      </c>
      <c r="B90" t="e">
        <f>t6funds</f>
        <v>#REF!</v>
      </c>
    </row>
    <row r="91" spans="1:2" x14ac:dyDescent="0.25">
      <c r="A91" t="s">
        <v>174</v>
      </c>
      <c r="B91" t="e">
        <f>t6other1</f>
        <v>#REF!</v>
      </c>
    </row>
    <row r="92" spans="1:2" x14ac:dyDescent="0.25">
      <c r="A92" t="s">
        <v>175</v>
      </c>
      <c r="B92" t="e">
        <f>t6other2</f>
        <v>#REF!</v>
      </c>
    </row>
    <row r="93" spans="1:2" x14ac:dyDescent="0.25">
      <c r="A93" t="s">
        <v>176</v>
      </c>
      <c r="B93" t="e">
        <f>t6other3</f>
        <v>#REF!</v>
      </c>
    </row>
    <row r="94" spans="1:2" x14ac:dyDescent="0.25">
      <c r="A94" t="s">
        <v>36</v>
      </c>
      <c r="B94" s="13" t="e">
        <f>Numecodet7</f>
        <v>#REF!</v>
      </c>
    </row>
    <row r="95" spans="1:2" x14ac:dyDescent="0.25">
      <c r="A95" t="s">
        <v>37</v>
      </c>
      <c r="B95" s="10" t="e">
        <f>Numealtt7</f>
        <v>#REF!</v>
      </c>
    </row>
    <row r="96" spans="1:2" x14ac:dyDescent="0.25">
      <c r="A96" t="s">
        <v>313</v>
      </c>
      <c r="B96" s="10" t="e">
        <f>JJCPAt7</f>
        <v>#REF!</v>
      </c>
    </row>
    <row r="97" spans="1:2" x14ac:dyDescent="0.25">
      <c r="A97" t="s">
        <v>314</v>
      </c>
      <c r="B97" s="10" t="e">
        <f>Othert7</f>
        <v>#REF!</v>
      </c>
    </row>
    <row r="98" spans="1:2" x14ac:dyDescent="0.25">
      <c r="A98" t="s">
        <v>68</v>
      </c>
      <c r="B98" s="9" t="e">
        <f>t7casecount</f>
        <v>#REF!</v>
      </c>
    </row>
    <row r="99" spans="1:2" x14ac:dyDescent="0.25">
      <c r="A99" t="s">
        <v>69</v>
      </c>
      <c r="B99" s="12" t="e">
        <f>t7yobgpercap</f>
        <v>#REF!</v>
      </c>
    </row>
    <row r="100" spans="1:2" x14ac:dyDescent="0.25">
      <c r="A100" t="s">
        <v>70</v>
      </c>
      <c r="B100" s="12" t="e">
        <f>t7totpercap</f>
        <v>#REF!</v>
      </c>
    </row>
    <row r="101" spans="1:2" x14ac:dyDescent="0.25">
      <c r="A101" t="s">
        <v>71</v>
      </c>
      <c r="B101" t="e">
        <f>t7nar</f>
        <v>#REF!</v>
      </c>
    </row>
    <row r="102" spans="1:2" x14ac:dyDescent="0.25">
      <c r="A102" t="s">
        <v>277</v>
      </c>
      <c r="B102" t="e">
        <f>t7goal</f>
        <v>#REF!</v>
      </c>
    </row>
    <row r="103" spans="1:2" x14ac:dyDescent="0.25">
      <c r="A103" t="s">
        <v>292</v>
      </c>
      <c r="B103" t="e">
        <f>t7barrier</f>
        <v>#REF!</v>
      </c>
    </row>
    <row r="104" spans="1:2" x14ac:dyDescent="0.25">
      <c r="A104" t="s">
        <v>278</v>
      </c>
      <c r="B104" t="e">
        <f>t7funds</f>
        <v>#REF!</v>
      </c>
    </row>
    <row r="105" spans="1:2" x14ac:dyDescent="0.25">
      <c r="A105" t="s">
        <v>177</v>
      </c>
      <c r="B105" t="e">
        <f>t7other1</f>
        <v>#REF!</v>
      </c>
    </row>
    <row r="106" spans="1:2" x14ac:dyDescent="0.25">
      <c r="A106" t="s">
        <v>178</v>
      </c>
      <c r="B106" t="e">
        <f>t7other2</f>
        <v>#REF!</v>
      </c>
    </row>
    <row r="107" spans="1:2" x14ac:dyDescent="0.25">
      <c r="A107" t="s">
        <v>179</v>
      </c>
      <c r="B107" t="e">
        <f>t7other3</f>
        <v>#REF!</v>
      </c>
    </row>
    <row r="108" spans="1:2" x14ac:dyDescent="0.25">
      <c r="A108" t="s">
        <v>76</v>
      </c>
      <c r="B108" s="13" t="e">
        <f>Numecodet8</f>
        <v>#REF!</v>
      </c>
    </row>
    <row r="109" spans="1:2" x14ac:dyDescent="0.25">
      <c r="A109" t="s">
        <v>77</v>
      </c>
      <c r="B109" s="10" t="e">
        <f>Numealtt8</f>
        <v>#REF!</v>
      </c>
    </row>
    <row r="110" spans="1:2" x14ac:dyDescent="0.25">
      <c r="A110" t="s">
        <v>315</v>
      </c>
      <c r="B110" s="10" t="e">
        <f>JJCPAt8</f>
        <v>#REF!</v>
      </c>
    </row>
    <row r="111" spans="1:2" x14ac:dyDescent="0.25">
      <c r="A111" t="s">
        <v>316</v>
      </c>
      <c r="B111" s="10" t="e">
        <f>Othert8</f>
        <v>#REF!</v>
      </c>
    </row>
    <row r="112" spans="1:2" x14ac:dyDescent="0.25">
      <c r="A112" t="s">
        <v>108</v>
      </c>
      <c r="B112" s="9" t="e">
        <f>t8casecount</f>
        <v>#REF!</v>
      </c>
    </row>
    <row r="113" spans="1:2" x14ac:dyDescent="0.25">
      <c r="A113" t="s">
        <v>109</v>
      </c>
      <c r="B113" s="12" t="e">
        <f>t8yobgpercap</f>
        <v>#REF!</v>
      </c>
    </row>
    <row r="114" spans="1:2" x14ac:dyDescent="0.25">
      <c r="A114" t="s">
        <v>110</v>
      </c>
      <c r="B114" s="12" t="e">
        <f>t8totpercap</f>
        <v>#REF!</v>
      </c>
    </row>
    <row r="115" spans="1:2" x14ac:dyDescent="0.25">
      <c r="A115" t="s">
        <v>152</v>
      </c>
      <c r="B115" t="e">
        <f>t8nar</f>
        <v>#REF!</v>
      </c>
    </row>
    <row r="116" spans="1:2" x14ac:dyDescent="0.25">
      <c r="A116" t="s">
        <v>279</v>
      </c>
      <c r="B116" t="e">
        <f>t8goal</f>
        <v>#REF!</v>
      </c>
    </row>
    <row r="117" spans="1:2" x14ac:dyDescent="0.25">
      <c r="A117" t="s">
        <v>293</v>
      </c>
      <c r="B117" t="e">
        <f>t8barrier</f>
        <v>#REF!</v>
      </c>
    </row>
    <row r="118" spans="1:2" x14ac:dyDescent="0.25">
      <c r="A118" t="s">
        <v>280</v>
      </c>
      <c r="B118" t="e">
        <f>t8funds</f>
        <v>#REF!</v>
      </c>
    </row>
    <row r="119" spans="1:2" x14ac:dyDescent="0.25">
      <c r="A119" t="s">
        <v>180</v>
      </c>
      <c r="B119" t="e">
        <f>t8other1</f>
        <v>#REF!</v>
      </c>
    </row>
    <row r="120" spans="1:2" x14ac:dyDescent="0.25">
      <c r="A120" t="s">
        <v>181</v>
      </c>
      <c r="B120" t="e">
        <f>t8other2</f>
        <v>#REF!</v>
      </c>
    </row>
    <row r="121" spans="1:2" x14ac:dyDescent="0.25">
      <c r="A121" t="s">
        <v>182</v>
      </c>
      <c r="B121" t="e">
        <f>t8other3</f>
        <v>#REF!</v>
      </c>
    </row>
    <row r="122" spans="1:2" x14ac:dyDescent="0.25">
      <c r="A122" t="s">
        <v>115</v>
      </c>
      <c r="B122" s="13" t="e">
        <f>Numecodet9</f>
        <v>#REF!</v>
      </c>
    </row>
    <row r="123" spans="1:2" x14ac:dyDescent="0.25">
      <c r="A123" t="s">
        <v>117</v>
      </c>
      <c r="B123" s="10" t="e">
        <f>Numealtt9</f>
        <v>#REF!</v>
      </c>
    </row>
    <row r="124" spans="1:2" x14ac:dyDescent="0.25">
      <c r="A124" t="s">
        <v>317</v>
      </c>
      <c r="B124" s="10" t="e">
        <f>JJCPAt9</f>
        <v>#REF!</v>
      </c>
    </row>
    <row r="125" spans="1:2" x14ac:dyDescent="0.25">
      <c r="A125" t="s">
        <v>318</v>
      </c>
      <c r="B125" s="10" t="e">
        <f>Othert9</f>
        <v>#REF!</v>
      </c>
    </row>
    <row r="126" spans="1:2" x14ac:dyDescent="0.25">
      <c r="A126" t="s">
        <v>148</v>
      </c>
      <c r="B126" s="9" t="e">
        <f>t9casecount</f>
        <v>#REF!</v>
      </c>
    </row>
    <row r="127" spans="1:2" x14ac:dyDescent="0.25">
      <c r="A127" t="s">
        <v>149</v>
      </c>
      <c r="B127" s="12" t="e">
        <f>t9yobgpercap</f>
        <v>#REF!</v>
      </c>
    </row>
    <row r="128" spans="1:2" x14ac:dyDescent="0.25">
      <c r="A128" t="s">
        <v>150</v>
      </c>
      <c r="B128" s="12" t="e">
        <f>t9totpercap</f>
        <v>#REF!</v>
      </c>
    </row>
    <row r="129" spans="1:2" x14ac:dyDescent="0.25">
      <c r="A129" t="s">
        <v>151</v>
      </c>
      <c r="B129" t="e">
        <f>t9nar</f>
        <v>#REF!</v>
      </c>
    </row>
    <row r="130" spans="1:2" x14ac:dyDescent="0.25">
      <c r="A130" t="s">
        <v>281</v>
      </c>
      <c r="B130" t="e">
        <f>t9goal</f>
        <v>#REF!</v>
      </c>
    </row>
    <row r="131" spans="1:2" x14ac:dyDescent="0.25">
      <c r="A131" t="s">
        <v>294</v>
      </c>
      <c r="B131" t="e">
        <f>t9barrier</f>
        <v>#REF!</v>
      </c>
    </row>
    <row r="132" spans="1:2" x14ac:dyDescent="0.25">
      <c r="A132" t="s">
        <v>282</v>
      </c>
      <c r="B132" t="e">
        <f>t9funds</f>
        <v>#REF!</v>
      </c>
    </row>
    <row r="133" spans="1:2" x14ac:dyDescent="0.25">
      <c r="A133" t="s">
        <v>183</v>
      </c>
      <c r="B133" t="e">
        <f>t9other1</f>
        <v>#REF!</v>
      </c>
    </row>
    <row r="134" spans="1:2" x14ac:dyDescent="0.25">
      <c r="A134" t="s">
        <v>184</v>
      </c>
      <c r="B134" t="e">
        <f>t9other2</f>
        <v>#REF!</v>
      </c>
    </row>
    <row r="135" spans="1:2" x14ac:dyDescent="0.25">
      <c r="A135" t="s">
        <v>185</v>
      </c>
      <c r="B135" t="e">
        <f>t9other3</f>
        <v>#REF!</v>
      </c>
    </row>
    <row r="136" spans="1:2" x14ac:dyDescent="0.25">
      <c r="A136" t="s">
        <v>158</v>
      </c>
      <c r="B136" s="13" t="e">
        <f>Numecodet10</f>
        <v>#REF!</v>
      </c>
    </row>
    <row r="137" spans="1:2" x14ac:dyDescent="0.25">
      <c r="A137" t="s">
        <v>189</v>
      </c>
      <c r="B137" s="10" t="e">
        <f>Numealtt10</f>
        <v>#REF!</v>
      </c>
    </row>
    <row r="138" spans="1:2" x14ac:dyDescent="0.25">
      <c r="A138" t="s">
        <v>319</v>
      </c>
      <c r="B138" s="10" t="e">
        <f>JJCPAt10</f>
        <v>#REF!</v>
      </c>
    </row>
    <row r="139" spans="1:2" x14ac:dyDescent="0.25">
      <c r="A139" t="s">
        <v>320</v>
      </c>
      <c r="B139" s="10" t="e">
        <f>Othert10</f>
        <v>#REF!</v>
      </c>
    </row>
    <row r="140" spans="1:2" x14ac:dyDescent="0.25">
      <c r="A140" t="s">
        <v>358</v>
      </c>
      <c r="B140" s="9" t="e">
        <f>t10casecount</f>
        <v>#REF!</v>
      </c>
    </row>
    <row r="141" spans="1:2" x14ac:dyDescent="0.25">
      <c r="A141" t="s">
        <v>157</v>
      </c>
      <c r="B141" s="12" t="e">
        <f>t10yobgpercap</f>
        <v>#REF!</v>
      </c>
    </row>
    <row r="142" spans="1:2" x14ac:dyDescent="0.25">
      <c r="A142" t="s">
        <v>359</v>
      </c>
      <c r="B142" s="12" t="e">
        <f>t10totpercap</f>
        <v>#REF!</v>
      </c>
    </row>
    <row r="143" spans="1:2" x14ac:dyDescent="0.25">
      <c r="A143" t="s">
        <v>360</v>
      </c>
      <c r="B143" t="e">
        <f>t10nar</f>
        <v>#REF!</v>
      </c>
    </row>
    <row r="144" spans="1:2" x14ac:dyDescent="0.25">
      <c r="A144" t="s">
        <v>283</v>
      </c>
      <c r="B144" t="e">
        <f>t10goal</f>
        <v>#REF!</v>
      </c>
    </row>
    <row r="145" spans="1:2" x14ac:dyDescent="0.25">
      <c r="A145" t="s">
        <v>295</v>
      </c>
      <c r="B145" t="e">
        <f>t10barrier</f>
        <v>#REF!</v>
      </c>
    </row>
    <row r="146" spans="1:2" x14ac:dyDescent="0.25">
      <c r="A146" t="s">
        <v>284</v>
      </c>
      <c r="B146" t="e">
        <f>t10funds</f>
        <v>#REF!</v>
      </c>
    </row>
    <row r="147" spans="1:2" x14ac:dyDescent="0.25">
      <c r="A147" t="s">
        <v>186</v>
      </c>
      <c r="B147" t="e">
        <f>t10other1</f>
        <v>#REF!</v>
      </c>
    </row>
    <row r="148" spans="1:2" x14ac:dyDescent="0.25">
      <c r="A148" t="s">
        <v>187</v>
      </c>
      <c r="B148" t="e">
        <f>t10other2</f>
        <v>#REF!</v>
      </c>
    </row>
    <row r="149" spans="1:2" x14ac:dyDescent="0.25">
      <c r="A149" t="s">
        <v>188</v>
      </c>
      <c r="B149" t="e">
        <f>t10other3</f>
        <v>#REF!</v>
      </c>
    </row>
    <row r="150" spans="1:2" x14ac:dyDescent="0.25">
      <c r="A150" s="41" t="s">
        <v>802</v>
      </c>
      <c r="B150" s="40" t="e">
        <f>totyobgexp</f>
        <v>#REF!</v>
      </c>
    </row>
    <row r="151" spans="1:2" x14ac:dyDescent="0.25">
      <c r="A151" s="41" t="s">
        <v>806</v>
      </c>
      <c r="B151" s="40" t="e">
        <f>fy1314all</f>
        <v>#REF!</v>
      </c>
    </row>
    <row r="152" spans="1:2" x14ac:dyDescent="0.25">
      <c r="A152" s="41" t="s">
        <v>803</v>
      </c>
      <c r="B152" s="40" t="e">
        <f>fy1213all</f>
        <v>#REF!</v>
      </c>
    </row>
    <row r="153" spans="1:2" x14ac:dyDescent="0.25">
      <c r="A153" t="s">
        <v>751</v>
      </c>
      <c r="B153" s="40" t="e">
        <f>fy1112all</f>
        <v>#REF!</v>
      </c>
    </row>
    <row r="154" spans="1:2" x14ac:dyDescent="0.25">
      <c r="A154" t="s">
        <v>300</v>
      </c>
      <c r="B154" s="40" t="e">
        <f>fy1011all</f>
        <v>#REF!</v>
      </c>
    </row>
    <row r="155" spans="1:2" x14ac:dyDescent="0.25">
      <c r="A155" t="s">
        <v>298</v>
      </c>
      <c r="B155" s="40" t="e">
        <f>fy0910all</f>
        <v>#REF!</v>
      </c>
    </row>
    <row r="156" spans="1:2" x14ac:dyDescent="0.25">
      <c r="A156" t="s">
        <v>297</v>
      </c>
      <c r="B156" s="40" t="e">
        <f>fy0809all</f>
        <v>#REF!</v>
      </c>
    </row>
    <row r="157" spans="1:2" x14ac:dyDescent="0.25">
      <c r="A157" t="s">
        <v>296</v>
      </c>
      <c r="B157" s="40" t="e">
        <f>fy0708all</f>
        <v>#REF!</v>
      </c>
    </row>
    <row r="158" spans="1:2" x14ac:dyDescent="0.25">
      <c r="A158" s="41" t="s">
        <v>804</v>
      </c>
      <c r="B158" s="40" t="e">
        <f>totforall</f>
        <v>#REF!</v>
      </c>
    </row>
    <row r="159" spans="1:2" x14ac:dyDescent="0.25">
      <c r="A159" t="s">
        <v>299</v>
      </c>
      <c r="B159" s="40" t="e">
        <f>discrep</f>
        <v>#REF!</v>
      </c>
    </row>
    <row r="160" spans="1:2" x14ac:dyDescent="0.25">
      <c r="A160" t="s">
        <v>250</v>
      </c>
      <c r="B160" t="e">
        <f>discexpl</f>
        <v>#REF!</v>
      </c>
    </row>
    <row r="161" spans="1:2" x14ac:dyDescent="0.25">
      <c r="A161" t="s">
        <v>792</v>
      </c>
      <c r="B161" t="e">
        <f>Numecodet1</f>
        <v>#REF!</v>
      </c>
    </row>
    <row r="162" spans="1:2" x14ac:dyDescent="0.25">
      <c r="A162" t="s">
        <v>752</v>
      </c>
      <c r="B162" t="e">
        <f>JJCPAt1</f>
        <v>#REF!</v>
      </c>
    </row>
    <row r="163" spans="1:2" x14ac:dyDescent="0.25">
      <c r="A163" t="s">
        <v>753</v>
      </c>
      <c r="B163" s="11">
        <f>t1jjcpatot</f>
        <v>0</v>
      </c>
    </row>
    <row r="164" spans="1:2" x14ac:dyDescent="0.25">
      <c r="A164" t="s">
        <v>760</v>
      </c>
      <c r="B164" t="e">
        <f>Othert1</f>
        <v>#REF!</v>
      </c>
    </row>
    <row r="165" spans="1:2" x14ac:dyDescent="0.25">
      <c r="A165" t="s">
        <v>761</v>
      </c>
      <c r="B165" s="11">
        <f>t1othertot</f>
        <v>156846</v>
      </c>
    </row>
    <row r="166" spans="1:2" x14ac:dyDescent="0.25">
      <c r="A166" t="s">
        <v>793</v>
      </c>
      <c r="B166" t="e">
        <f>Numecodet2</f>
        <v>#REF!</v>
      </c>
    </row>
    <row r="167" spans="1:2" x14ac:dyDescent="0.25">
      <c r="A167" t="s">
        <v>754</v>
      </c>
      <c r="B167" t="e">
        <f>JJCPAt2</f>
        <v>#REF!</v>
      </c>
    </row>
    <row r="168" spans="1:2" x14ac:dyDescent="0.25">
      <c r="A168" t="s">
        <v>755</v>
      </c>
      <c r="B168" s="11" t="e">
        <f>t2jjcpatot</f>
        <v>#REF!</v>
      </c>
    </row>
    <row r="169" spans="1:2" x14ac:dyDescent="0.25">
      <c r="A169" t="s">
        <v>762</v>
      </c>
      <c r="B169" t="e">
        <f>Othert2</f>
        <v>#REF!</v>
      </c>
    </row>
    <row r="170" spans="1:2" x14ac:dyDescent="0.25">
      <c r="A170" t="s">
        <v>763</v>
      </c>
      <c r="B170" s="11" t="e">
        <f>t2othertot</f>
        <v>#REF!</v>
      </c>
    </row>
    <row r="171" spans="1:2" x14ac:dyDescent="0.25">
      <c r="A171" t="s">
        <v>794</v>
      </c>
      <c r="B171" t="e">
        <f>Numecodet3</f>
        <v>#REF!</v>
      </c>
    </row>
    <row r="172" spans="1:2" x14ac:dyDescent="0.25">
      <c r="A172" t="s">
        <v>756</v>
      </c>
      <c r="B172" t="e">
        <f>JJCPAt3</f>
        <v>#REF!</v>
      </c>
    </row>
    <row r="173" spans="1:2" x14ac:dyDescent="0.25">
      <c r="A173" t="s">
        <v>757</v>
      </c>
      <c r="B173" s="11" t="e">
        <f>t3jjcpatot</f>
        <v>#REF!</v>
      </c>
    </row>
    <row r="174" spans="1:2" x14ac:dyDescent="0.25">
      <c r="A174" t="s">
        <v>764</v>
      </c>
      <c r="B174" t="e">
        <f>Othert3</f>
        <v>#REF!</v>
      </c>
    </row>
    <row r="175" spans="1:2" x14ac:dyDescent="0.25">
      <c r="A175" t="s">
        <v>765</v>
      </c>
      <c r="B175" s="11" t="e">
        <f>t3othertot</f>
        <v>#REF!</v>
      </c>
    </row>
    <row r="176" spans="1:2" x14ac:dyDescent="0.25">
      <c r="A176" t="s">
        <v>795</v>
      </c>
      <c r="B176" t="e">
        <f>Numecodet4</f>
        <v>#REF!</v>
      </c>
    </row>
    <row r="177" spans="1:2" x14ac:dyDescent="0.25">
      <c r="A177" t="s">
        <v>758</v>
      </c>
      <c r="B177" t="e">
        <f>JJCPAt4</f>
        <v>#REF!</v>
      </c>
    </row>
    <row r="178" spans="1:2" x14ac:dyDescent="0.25">
      <c r="A178" t="s">
        <v>759</v>
      </c>
      <c r="B178" s="11" t="e">
        <f>t4jjcpatot</f>
        <v>#REF!</v>
      </c>
    </row>
    <row r="179" spans="1:2" x14ac:dyDescent="0.25">
      <c r="A179" t="s">
        <v>766</v>
      </c>
      <c r="B179" t="e">
        <f>Othert4</f>
        <v>#REF!</v>
      </c>
    </row>
    <row r="180" spans="1:2" x14ac:dyDescent="0.25">
      <c r="A180" t="s">
        <v>767</v>
      </c>
      <c r="B180" s="11" t="e">
        <f>t4othertot</f>
        <v>#REF!</v>
      </c>
    </row>
    <row r="181" spans="1:2" x14ac:dyDescent="0.25">
      <c r="A181" t="s">
        <v>796</v>
      </c>
      <c r="B181" t="e">
        <f>Numecodet5</f>
        <v>#REF!</v>
      </c>
    </row>
    <row r="182" spans="1:2" x14ac:dyDescent="0.25">
      <c r="A182" t="s">
        <v>768</v>
      </c>
      <c r="B182" t="e">
        <f>JJCPAt5</f>
        <v>#REF!</v>
      </c>
    </row>
    <row r="183" spans="1:2" x14ac:dyDescent="0.25">
      <c r="A183" t="s">
        <v>769</v>
      </c>
      <c r="B183" s="11" t="e">
        <f>t5jjcpatot</f>
        <v>#REF!</v>
      </c>
    </row>
    <row r="184" spans="1:2" x14ac:dyDescent="0.25">
      <c r="A184" t="s">
        <v>770</v>
      </c>
      <c r="B184" t="e">
        <f>Othert5</f>
        <v>#REF!</v>
      </c>
    </row>
    <row r="185" spans="1:2" x14ac:dyDescent="0.25">
      <c r="A185" t="s">
        <v>771</v>
      </c>
      <c r="B185" s="11" t="e">
        <f>t5othertot</f>
        <v>#REF!</v>
      </c>
    </row>
    <row r="186" spans="1:2" x14ac:dyDescent="0.25">
      <c r="A186" t="s">
        <v>797</v>
      </c>
      <c r="B186" t="e">
        <f>Numecodet6</f>
        <v>#REF!</v>
      </c>
    </row>
    <row r="187" spans="1:2" x14ac:dyDescent="0.25">
      <c r="A187" t="s">
        <v>772</v>
      </c>
      <c r="B187" t="e">
        <f>JJCPAt6</f>
        <v>#REF!</v>
      </c>
    </row>
    <row r="188" spans="1:2" x14ac:dyDescent="0.25">
      <c r="A188" t="s">
        <v>773</v>
      </c>
      <c r="B188" s="11" t="e">
        <f>t6jjcpatot</f>
        <v>#REF!</v>
      </c>
    </row>
    <row r="189" spans="1:2" x14ac:dyDescent="0.25">
      <c r="A189" t="s">
        <v>774</v>
      </c>
      <c r="B189" t="e">
        <f>Othert6</f>
        <v>#REF!</v>
      </c>
    </row>
    <row r="190" spans="1:2" x14ac:dyDescent="0.25">
      <c r="A190" t="s">
        <v>775</v>
      </c>
      <c r="B190" s="11" t="e">
        <f>t6othertot</f>
        <v>#REF!</v>
      </c>
    </row>
    <row r="191" spans="1:2" x14ac:dyDescent="0.25">
      <c r="A191" t="s">
        <v>798</v>
      </c>
      <c r="B191" t="e">
        <f>Numecodet7</f>
        <v>#REF!</v>
      </c>
    </row>
    <row r="192" spans="1:2" x14ac:dyDescent="0.25">
      <c r="A192" t="s">
        <v>776</v>
      </c>
      <c r="B192" t="e">
        <f>JJCPAt7</f>
        <v>#REF!</v>
      </c>
    </row>
    <row r="193" spans="1:2" x14ac:dyDescent="0.25">
      <c r="A193" t="s">
        <v>777</v>
      </c>
      <c r="B193" s="11" t="e">
        <f>t7jjcpatot</f>
        <v>#REF!</v>
      </c>
    </row>
    <row r="194" spans="1:2" x14ac:dyDescent="0.25">
      <c r="A194" t="s">
        <v>778</v>
      </c>
      <c r="B194" t="e">
        <f>Othert7</f>
        <v>#REF!</v>
      </c>
    </row>
    <row r="195" spans="1:2" x14ac:dyDescent="0.25">
      <c r="A195" t="s">
        <v>779</v>
      </c>
      <c r="B195" s="11" t="e">
        <f>t7othertot</f>
        <v>#REF!</v>
      </c>
    </row>
    <row r="196" spans="1:2" x14ac:dyDescent="0.25">
      <c r="A196" t="s">
        <v>799</v>
      </c>
      <c r="B196" t="e">
        <f>Numecodet8</f>
        <v>#REF!</v>
      </c>
    </row>
    <row r="197" spans="1:2" x14ac:dyDescent="0.25">
      <c r="A197" t="s">
        <v>780</v>
      </c>
      <c r="B197" t="e">
        <f>JJCPAt8</f>
        <v>#REF!</v>
      </c>
    </row>
    <row r="198" spans="1:2" x14ac:dyDescent="0.25">
      <c r="A198" t="s">
        <v>781</v>
      </c>
      <c r="B198" s="11" t="e">
        <f>t8jjcpatot</f>
        <v>#REF!</v>
      </c>
    </row>
    <row r="199" spans="1:2" x14ac:dyDescent="0.25">
      <c r="A199" t="s">
        <v>782</v>
      </c>
      <c r="B199" t="e">
        <f>Othert8</f>
        <v>#REF!</v>
      </c>
    </row>
    <row r="200" spans="1:2" x14ac:dyDescent="0.25">
      <c r="A200" t="s">
        <v>783</v>
      </c>
      <c r="B200" s="11" t="e">
        <f>t8othertot</f>
        <v>#REF!</v>
      </c>
    </row>
    <row r="201" spans="1:2" x14ac:dyDescent="0.25">
      <c r="A201" t="s">
        <v>800</v>
      </c>
      <c r="B201" t="e">
        <f>Numecodet9</f>
        <v>#REF!</v>
      </c>
    </row>
    <row r="202" spans="1:2" x14ac:dyDescent="0.25">
      <c r="A202" t="s">
        <v>784</v>
      </c>
      <c r="B202" t="e">
        <f>JJCPAt9</f>
        <v>#REF!</v>
      </c>
    </row>
    <row r="203" spans="1:2" x14ac:dyDescent="0.25">
      <c r="A203" t="s">
        <v>785</v>
      </c>
      <c r="B203" s="11" t="e">
        <f>t9jjcpatot</f>
        <v>#REF!</v>
      </c>
    </row>
    <row r="204" spans="1:2" x14ac:dyDescent="0.25">
      <c r="A204" t="s">
        <v>786</v>
      </c>
      <c r="B204" t="e">
        <f>Othert9</f>
        <v>#REF!</v>
      </c>
    </row>
    <row r="205" spans="1:2" x14ac:dyDescent="0.25">
      <c r="A205" t="s">
        <v>787</v>
      </c>
      <c r="B205" s="11" t="e">
        <f>t9othertot</f>
        <v>#REF!</v>
      </c>
    </row>
    <row r="206" spans="1:2" x14ac:dyDescent="0.25">
      <c r="A206" t="s">
        <v>801</v>
      </c>
      <c r="B206" t="e">
        <f>Numcodet10</f>
        <v>#REF!</v>
      </c>
    </row>
    <row r="207" spans="1:2" x14ac:dyDescent="0.25">
      <c r="A207" t="s">
        <v>788</v>
      </c>
      <c r="B207" t="e">
        <f>JJCPAt10</f>
        <v>#REF!</v>
      </c>
    </row>
    <row r="208" spans="1:2" x14ac:dyDescent="0.25">
      <c r="A208" t="s">
        <v>789</v>
      </c>
      <c r="B208" s="11" t="e">
        <f>t10jjcpatot</f>
        <v>#REF!</v>
      </c>
    </row>
    <row r="209" spans="1:2" x14ac:dyDescent="0.25">
      <c r="A209" t="s">
        <v>790</v>
      </c>
      <c r="B209" t="e">
        <f>Othert10</f>
        <v>#REF!</v>
      </c>
    </row>
    <row r="210" spans="1:2" x14ac:dyDescent="0.25">
      <c r="A210" t="s">
        <v>791</v>
      </c>
      <c r="B210" s="11" t="e">
        <f>t10othertot</f>
        <v>#REF!</v>
      </c>
    </row>
  </sheetData>
  <sheetProtection password="CB13" sheet="1"/>
  <phoneticPr fontId="2"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1"/>
  <dimension ref="A1:G58"/>
  <sheetViews>
    <sheetView topLeftCell="A4" workbookViewId="0">
      <selection activeCell="H26" sqref="H26:I26"/>
    </sheetView>
  </sheetViews>
  <sheetFormatPr defaultRowHeight="13.2" x14ac:dyDescent="0.25"/>
  <cols>
    <col min="2" max="2" width="34.5546875" customWidth="1"/>
    <col min="4" max="4" width="12.5546875" customWidth="1"/>
    <col min="7" max="7" width="27.44140625" customWidth="1"/>
  </cols>
  <sheetData>
    <row r="1" spans="1:4" x14ac:dyDescent="0.25">
      <c r="A1">
        <v>1</v>
      </c>
      <c r="B1" s="2" t="s">
        <v>468</v>
      </c>
      <c r="C1">
        <v>1</v>
      </c>
      <c r="D1" t="s">
        <v>407</v>
      </c>
    </row>
    <row r="2" spans="1:4" x14ac:dyDescent="0.25">
      <c r="A2">
        <v>2</v>
      </c>
      <c r="B2" s="2" t="s">
        <v>469</v>
      </c>
      <c r="C2">
        <v>2</v>
      </c>
      <c r="D2" t="s">
        <v>462</v>
      </c>
    </row>
    <row r="3" spans="1:4" x14ac:dyDescent="0.25">
      <c r="A3">
        <v>3</v>
      </c>
      <c r="B3" s="2" t="s">
        <v>470</v>
      </c>
      <c r="D3" t="s">
        <v>408</v>
      </c>
    </row>
    <row r="4" spans="1:4" x14ac:dyDescent="0.25">
      <c r="A4">
        <v>4</v>
      </c>
      <c r="B4" s="2" t="s">
        <v>471</v>
      </c>
      <c r="D4" t="s">
        <v>409</v>
      </c>
    </row>
    <row r="5" spans="1:4" x14ac:dyDescent="0.25">
      <c r="A5">
        <v>5</v>
      </c>
      <c r="B5" s="2" t="s">
        <v>472</v>
      </c>
      <c r="D5" t="s">
        <v>410</v>
      </c>
    </row>
    <row r="6" spans="1:4" x14ac:dyDescent="0.25">
      <c r="A6">
        <v>6</v>
      </c>
      <c r="B6" s="2" t="s">
        <v>473</v>
      </c>
      <c r="D6" t="s">
        <v>411</v>
      </c>
    </row>
    <row r="7" spans="1:4" x14ac:dyDescent="0.25">
      <c r="A7">
        <v>7</v>
      </c>
      <c r="B7" s="2" t="s">
        <v>474</v>
      </c>
      <c r="D7" t="s">
        <v>412</v>
      </c>
    </row>
    <row r="8" spans="1:4" x14ac:dyDescent="0.25">
      <c r="A8">
        <v>8</v>
      </c>
      <c r="B8" s="2" t="s">
        <v>536</v>
      </c>
      <c r="D8" t="s">
        <v>324</v>
      </c>
    </row>
    <row r="9" spans="1:4" x14ac:dyDescent="0.25">
      <c r="A9">
        <v>9</v>
      </c>
      <c r="B9" s="2" t="s">
        <v>475</v>
      </c>
      <c r="D9" t="s">
        <v>413</v>
      </c>
    </row>
    <row r="10" spans="1:4" x14ac:dyDescent="0.25">
      <c r="A10">
        <v>10</v>
      </c>
      <c r="B10" s="2" t="s">
        <v>476</v>
      </c>
      <c r="D10" t="s">
        <v>414</v>
      </c>
    </row>
    <row r="11" spans="1:4" x14ac:dyDescent="0.25">
      <c r="A11">
        <v>11</v>
      </c>
      <c r="B11" s="2" t="s">
        <v>477</v>
      </c>
      <c r="D11" t="s">
        <v>415</v>
      </c>
    </row>
    <row r="12" spans="1:4" x14ac:dyDescent="0.25">
      <c r="A12">
        <v>12</v>
      </c>
      <c r="B12" s="2" t="s">
        <v>478</v>
      </c>
      <c r="D12" t="s">
        <v>416</v>
      </c>
    </row>
    <row r="13" spans="1:4" x14ac:dyDescent="0.25">
      <c r="A13">
        <v>13</v>
      </c>
      <c r="B13" s="2" t="s">
        <v>479</v>
      </c>
      <c r="D13" t="s">
        <v>417</v>
      </c>
    </row>
    <row r="14" spans="1:4" x14ac:dyDescent="0.25">
      <c r="A14">
        <v>14</v>
      </c>
      <c r="B14" s="2" t="s">
        <v>480</v>
      </c>
      <c r="D14" t="s">
        <v>418</v>
      </c>
    </row>
    <row r="15" spans="1:4" x14ac:dyDescent="0.25">
      <c r="A15">
        <v>15</v>
      </c>
      <c r="B15" s="2" t="s">
        <v>481</v>
      </c>
      <c r="D15" t="s">
        <v>419</v>
      </c>
    </row>
    <row r="16" spans="1:4" x14ac:dyDescent="0.25">
      <c r="A16">
        <v>16</v>
      </c>
      <c r="B16" s="2" t="s">
        <v>482</v>
      </c>
      <c r="D16" t="s">
        <v>420</v>
      </c>
    </row>
    <row r="17" spans="1:7" x14ac:dyDescent="0.25">
      <c r="A17">
        <v>17</v>
      </c>
      <c r="B17" s="2" t="s">
        <v>483</v>
      </c>
      <c r="D17" t="s">
        <v>421</v>
      </c>
    </row>
    <row r="18" spans="1:7" x14ac:dyDescent="0.25">
      <c r="A18">
        <v>18</v>
      </c>
      <c r="B18" s="2" t="s">
        <v>484</v>
      </c>
      <c r="D18" t="s">
        <v>422</v>
      </c>
    </row>
    <row r="19" spans="1:7" x14ac:dyDescent="0.25">
      <c r="A19">
        <v>19</v>
      </c>
      <c r="B19" s="2" t="s">
        <v>485</v>
      </c>
      <c r="D19" t="s">
        <v>423</v>
      </c>
    </row>
    <row r="20" spans="1:7" x14ac:dyDescent="0.25">
      <c r="A20">
        <v>20</v>
      </c>
      <c r="B20" s="2" t="s">
        <v>486</v>
      </c>
      <c r="D20" t="s">
        <v>424</v>
      </c>
    </row>
    <row r="21" spans="1:7" x14ac:dyDescent="0.25">
      <c r="A21">
        <v>21</v>
      </c>
      <c r="B21" s="2" t="s">
        <v>487</v>
      </c>
      <c r="D21" t="s">
        <v>425</v>
      </c>
    </row>
    <row r="22" spans="1:7" x14ac:dyDescent="0.25">
      <c r="A22">
        <v>22</v>
      </c>
      <c r="B22" s="2" t="s">
        <v>488</v>
      </c>
      <c r="D22" t="s">
        <v>426</v>
      </c>
    </row>
    <row r="23" spans="1:7" x14ac:dyDescent="0.25">
      <c r="A23">
        <v>23</v>
      </c>
      <c r="B23" s="2" t="s">
        <v>489</v>
      </c>
      <c r="D23" t="s">
        <v>427</v>
      </c>
    </row>
    <row r="24" spans="1:7" x14ac:dyDescent="0.25">
      <c r="A24">
        <v>24</v>
      </c>
      <c r="B24" s="2" t="s">
        <v>490</v>
      </c>
      <c r="D24" t="s">
        <v>428</v>
      </c>
      <c r="F24" s="15" t="s">
        <v>405</v>
      </c>
      <c r="G24" s="2" t="s">
        <v>377</v>
      </c>
    </row>
    <row r="25" spans="1:7" x14ac:dyDescent="0.25">
      <c r="A25">
        <v>25</v>
      </c>
      <c r="B25" s="2" t="s">
        <v>491</v>
      </c>
      <c r="D25" t="s">
        <v>429</v>
      </c>
      <c r="F25" s="15" t="s">
        <v>406</v>
      </c>
      <c r="G25" s="22" t="s">
        <v>372</v>
      </c>
    </row>
    <row r="26" spans="1:7" x14ac:dyDescent="0.25">
      <c r="A26">
        <v>26</v>
      </c>
      <c r="B26" s="2" t="s">
        <v>492</v>
      </c>
      <c r="D26" t="s">
        <v>323</v>
      </c>
      <c r="G26" s="22" t="s">
        <v>373</v>
      </c>
    </row>
    <row r="27" spans="1:7" x14ac:dyDescent="0.25">
      <c r="A27">
        <v>27</v>
      </c>
      <c r="B27" s="2" t="s">
        <v>493</v>
      </c>
      <c r="D27" t="s">
        <v>430</v>
      </c>
      <c r="G27" s="22" t="s">
        <v>376</v>
      </c>
    </row>
    <row r="28" spans="1:7" x14ac:dyDescent="0.25">
      <c r="A28">
        <v>28</v>
      </c>
      <c r="B28" s="2" t="s">
        <v>494</v>
      </c>
      <c r="D28" t="s">
        <v>431</v>
      </c>
      <c r="G28" s="22" t="s">
        <v>374</v>
      </c>
    </row>
    <row r="29" spans="1:7" x14ac:dyDescent="0.25">
      <c r="A29">
        <v>29</v>
      </c>
      <c r="B29" s="2" t="s">
        <v>495</v>
      </c>
      <c r="D29" t="s">
        <v>432</v>
      </c>
      <c r="G29" s="22" t="s">
        <v>375</v>
      </c>
    </row>
    <row r="30" spans="1:7" x14ac:dyDescent="0.25">
      <c r="A30">
        <v>30</v>
      </c>
      <c r="B30" s="2" t="s">
        <v>496</v>
      </c>
      <c r="D30" t="s">
        <v>433</v>
      </c>
      <c r="G30" s="22" t="s">
        <v>378</v>
      </c>
    </row>
    <row r="31" spans="1:7" x14ac:dyDescent="0.25">
      <c r="A31">
        <v>31</v>
      </c>
      <c r="B31" s="2" t="s">
        <v>497</v>
      </c>
      <c r="D31" t="s">
        <v>434</v>
      </c>
      <c r="G31" s="22" t="s">
        <v>379</v>
      </c>
    </row>
    <row r="32" spans="1:7" x14ac:dyDescent="0.25">
      <c r="A32">
        <v>32</v>
      </c>
      <c r="B32" s="2" t="s">
        <v>498</v>
      </c>
      <c r="D32" t="s">
        <v>435</v>
      </c>
      <c r="G32" s="22" t="s">
        <v>380</v>
      </c>
    </row>
    <row r="33" spans="1:7" x14ac:dyDescent="0.25">
      <c r="A33">
        <v>33</v>
      </c>
      <c r="B33" s="2" t="s">
        <v>499</v>
      </c>
      <c r="D33" t="s">
        <v>436</v>
      </c>
      <c r="G33" s="22" t="s">
        <v>381</v>
      </c>
    </row>
    <row r="34" spans="1:7" x14ac:dyDescent="0.25">
      <c r="A34">
        <v>34</v>
      </c>
      <c r="B34" s="2" t="s">
        <v>326</v>
      </c>
      <c r="D34" t="s">
        <v>437</v>
      </c>
      <c r="G34" s="22" t="s">
        <v>382</v>
      </c>
    </row>
    <row r="35" spans="1:7" x14ac:dyDescent="0.25">
      <c r="A35">
        <v>35</v>
      </c>
      <c r="B35" s="2" t="s">
        <v>500</v>
      </c>
      <c r="D35" t="s">
        <v>438</v>
      </c>
      <c r="G35" s="22" t="s">
        <v>383</v>
      </c>
    </row>
    <row r="36" spans="1:7" x14ac:dyDescent="0.25">
      <c r="A36">
        <v>36</v>
      </c>
      <c r="B36" s="2" t="s">
        <v>501</v>
      </c>
      <c r="D36" t="s">
        <v>439</v>
      </c>
      <c r="G36" s="22" t="s">
        <v>384</v>
      </c>
    </row>
    <row r="37" spans="1:7" x14ac:dyDescent="0.25">
      <c r="A37">
        <v>37</v>
      </c>
      <c r="B37" s="2" t="s">
        <v>502</v>
      </c>
      <c r="D37" t="s">
        <v>440</v>
      </c>
      <c r="G37" s="22" t="s">
        <v>385</v>
      </c>
    </row>
    <row r="38" spans="1:7" x14ac:dyDescent="0.25">
      <c r="A38">
        <v>38</v>
      </c>
      <c r="B38" s="2" t="s">
        <v>503</v>
      </c>
      <c r="D38" t="s">
        <v>441</v>
      </c>
      <c r="G38" s="22" t="s">
        <v>386</v>
      </c>
    </row>
    <row r="39" spans="1:7" x14ac:dyDescent="0.25">
      <c r="A39">
        <v>39</v>
      </c>
      <c r="B39" s="2" t="s">
        <v>504</v>
      </c>
      <c r="D39" t="s">
        <v>442</v>
      </c>
      <c r="G39" s="22" t="s">
        <v>387</v>
      </c>
    </row>
    <row r="40" spans="1:7" x14ac:dyDescent="0.25">
      <c r="A40">
        <v>40</v>
      </c>
      <c r="B40" s="2" t="s">
        <v>516</v>
      </c>
      <c r="D40" t="s">
        <v>443</v>
      </c>
      <c r="G40" s="22" t="s">
        <v>388</v>
      </c>
    </row>
    <row r="41" spans="1:7" x14ac:dyDescent="0.25">
      <c r="A41">
        <v>41</v>
      </c>
      <c r="B41" s="2" t="s">
        <v>505</v>
      </c>
      <c r="D41" t="s">
        <v>444</v>
      </c>
      <c r="G41" s="22" t="s">
        <v>389</v>
      </c>
    </row>
    <row r="42" spans="1:7" x14ac:dyDescent="0.25">
      <c r="A42">
        <v>42</v>
      </c>
      <c r="B42" s="2" t="s">
        <v>506</v>
      </c>
      <c r="D42" t="s">
        <v>445</v>
      </c>
      <c r="G42" s="22" t="s">
        <v>512</v>
      </c>
    </row>
    <row r="43" spans="1:7" x14ac:dyDescent="0.25">
      <c r="A43">
        <v>43</v>
      </c>
      <c r="B43" s="2" t="s">
        <v>517</v>
      </c>
      <c r="D43" t="s">
        <v>446</v>
      </c>
    </row>
    <row r="44" spans="1:7" x14ac:dyDescent="0.25">
      <c r="A44">
        <v>44</v>
      </c>
      <c r="B44" s="2" t="s">
        <v>517</v>
      </c>
      <c r="D44" t="s">
        <v>447</v>
      </c>
    </row>
    <row r="45" spans="1:7" x14ac:dyDescent="0.25">
      <c r="A45">
        <v>45</v>
      </c>
      <c r="B45" s="2" t="s">
        <v>507</v>
      </c>
      <c r="D45" t="s">
        <v>448</v>
      </c>
    </row>
    <row r="46" spans="1:7" x14ac:dyDescent="0.25">
      <c r="A46">
        <v>46</v>
      </c>
      <c r="B46" s="2" t="s">
        <v>513</v>
      </c>
      <c r="D46" t="s">
        <v>461</v>
      </c>
    </row>
    <row r="47" spans="1:7" x14ac:dyDescent="0.25">
      <c r="A47">
        <v>47</v>
      </c>
      <c r="B47" s="2" t="s">
        <v>508</v>
      </c>
      <c r="D47" t="s">
        <v>449</v>
      </c>
    </row>
    <row r="48" spans="1:7" x14ac:dyDescent="0.25">
      <c r="A48">
        <v>48</v>
      </c>
      <c r="B48" s="2" t="s">
        <v>509</v>
      </c>
      <c r="D48" t="s">
        <v>450</v>
      </c>
    </row>
    <row r="49" spans="1:4" x14ac:dyDescent="0.25">
      <c r="A49">
        <v>49</v>
      </c>
      <c r="B49" s="2" t="s">
        <v>510</v>
      </c>
      <c r="D49" t="s">
        <v>451</v>
      </c>
    </row>
    <row r="50" spans="1:4" x14ac:dyDescent="0.25">
      <c r="A50">
        <v>50</v>
      </c>
      <c r="B50" s="2" t="s">
        <v>511</v>
      </c>
      <c r="D50" t="s">
        <v>452</v>
      </c>
    </row>
    <row r="51" spans="1:4" x14ac:dyDescent="0.25">
      <c r="A51">
        <v>51</v>
      </c>
      <c r="B51" s="2" t="s">
        <v>512</v>
      </c>
      <c r="D51" t="s">
        <v>453</v>
      </c>
    </row>
    <row r="52" spans="1:4" x14ac:dyDescent="0.25">
      <c r="A52">
        <v>52</v>
      </c>
      <c r="B52" s="2" t="s">
        <v>805</v>
      </c>
      <c r="D52" t="s">
        <v>454</v>
      </c>
    </row>
    <row r="53" spans="1:4" x14ac:dyDescent="0.25">
      <c r="D53" t="s">
        <v>455</v>
      </c>
    </row>
    <row r="54" spans="1:4" x14ac:dyDescent="0.25">
      <c r="D54" t="s">
        <v>456</v>
      </c>
    </row>
    <row r="55" spans="1:4" x14ac:dyDescent="0.25">
      <c r="D55" t="s">
        <v>457</v>
      </c>
    </row>
    <row r="56" spans="1:4" x14ac:dyDescent="0.25">
      <c r="D56" t="s">
        <v>458</v>
      </c>
    </row>
    <row r="57" spans="1:4" x14ac:dyDescent="0.25">
      <c r="D57" t="s">
        <v>459</v>
      </c>
    </row>
    <row r="58" spans="1:4" x14ac:dyDescent="0.25">
      <c r="D58" t="s">
        <v>460</v>
      </c>
    </row>
  </sheetData>
  <sheetProtection password="CB13" sheet="1"/>
  <phoneticPr fontId="2" type="noConversion"/>
  <pageMargins left="0.75" right="0.75" top="1" bottom="1" header="0.5" footer="0.5"/>
  <pageSetup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dimension ref="A1:HQ2"/>
  <sheetViews>
    <sheetView workbookViewId="0">
      <selection activeCell="H26" sqref="H26:I26"/>
    </sheetView>
  </sheetViews>
  <sheetFormatPr defaultRowHeight="13.2" x14ac:dyDescent="0.25"/>
  <sheetData>
    <row r="1" spans="1:225" x14ac:dyDescent="0.25">
      <c r="A1" t="s">
        <v>539</v>
      </c>
      <c r="B1" t="s">
        <v>541</v>
      </c>
      <c r="C1" t="s">
        <v>542</v>
      </c>
      <c r="D1" t="s">
        <v>543</v>
      </c>
      <c r="E1" t="s">
        <v>540</v>
      </c>
      <c r="F1" t="s">
        <v>544</v>
      </c>
      <c r="G1" t="s">
        <v>546</v>
      </c>
      <c r="H1" t="s">
        <v>545</v>
      </c>
      <c r="I1" t="s">
        <v>192</v>
      </c>
      <c r="J1" t="s">
        <v>218</v>
      </c>
      <c r="K1" t="s">
        <v>217</v>
      </c>
      <c r="L1" t="s">
        <v>193</v>
      </c>
      <c r="M1" t="s">
        <v>365</v>
      </c>
      <c r="N1" t="s">
        <v>366</v>
      </c>
      <c r="O1" t="s">
        <v>367</v>
      </c>
      <c r="P1" t="s">
        <v>368</v>
      </c>
      <c r="Q1" t="s">
        <v>264</v>
      </c>
      <c r="R1" t="s">
        <v>265</v>
      </c>
      <c r="S1" t="s">
        <v>266</v>
      </c>
      <c r="T1" t="s">
        <v>116</v>
      </c>
      <c r="U1" t="s">
        <v>585</v>
      </c>
      <c r="V1" t="s">
        <v>586</v>
      </c>
      <c r="W1" t="s">
        <v>547</v>
      </c>
      <c r="X1" t="s">
        <v>548</v>
      </c>
      <c r="Y1" t="s">
        <v>549</v>
      </c>
      <c r="Z1" t="s">
        <v>550</v>
      </c>
      <c r="AA1" t="s">
        <v>551</v>
      </c>
      <c r="AB1" t="s">
        <v>552</v>
      </c>
      <c r="AC1" t="s">
        <v>553</v>
      </c>
      <c r="AD1" t="s">
        <v>554</v>
      </c>
      <c r="AE1" t="s">
        <v>582</v>
      </c>
      <c r="AF1" t="s">
        <v>555</v>
      </c>
      <c r="AG1" t="s">
        <v>556</v>
      </c>
      <c r="AH1" t="s">
        <v>557</v>
      </c>
      <c r="AI1" t="s">
        <v>558</v>
      </c>
      <c r="AJ1" t="s">
        <v>559</v>
      </c>
      <c r="AK1" t="s">
        <v>560</v>
      </c>
      <c r="AL1" t="s">
        <v>561</v>
      </c>
      <c r="AM1" t="s">
        <v>562</v>
      </c>
      <c r="AN1" t="s">
        <v>563</v>
      </c>
      <c r="AO1" t="s">
        <v>583</v>
      </c>
      <c r="AP1" t="s">
        <v>564</v>
      </c>
      <c r="AQ1" t="s">
        <v>565</v>
      </c>
      <c r="AR1" t="s">
        <v>566</v>
      </c>
      <c r="AS1" t="s">
        <v>567</v>
      </c>
      <c r="AT1" t="s">
        <v>568</v>
      </c>
      <c r="AU1" t="s">
        <v>569</v>
      </c>
      <c r="AV1" t="s">
        <v>570</v>
      </c>
      <c r="AW1" t="s">
        <v>571</v>
      </c>
      <c r="AX1" t="s">
        <v>572</v>
      </c>
      <c r="AY1" t="s">
        <v>584</v>
      </c>
      <c r="AZ1" t="s">
        <v>573</v>
      </c>
      <c r="BA1" t="s">
        <v>574</v>
      </c>
      <c r="BB1" t="s">
        <v>575</v>
      </c>
      <c r="BC1" t="s">
        <v>576</v>
      </c>
      <c r="BD1" t="s">
        <v>578</v>
      </c>
      <c r="BE1" t="s">
        <v>579</v>
      </c>
      <c r="BF1" t="s">
        <v>580</v>
      </c>
      <c r="BG1" t="s">
        <v>581</v>
      </c>
      <c r="BH1" t="s">
        <v>219</v>
      </c>
      <c r="BI1" t="s">
        <v>220</v>
      </c>
      <c r="BJ1" t="s">
        <v>587</v>
      </c>
      <c r="BK1" t="s">
        <v>588</v>
      </c>
      <c r="BL1" t="s">
        <v>589</v>
      </c>
      <c r="BM1" t="s">
        <v>590</v>
      </c>
      <c r="BN1" t="s">
        <v>591</v>
      </c>
      <c r="BO1" t="s">
        <v>592</v>
      </c>
      <c r="BP1" t="s">
        <v>593</v>
      </c>
      <c r="BQ1" t="s">
        <v>594</v>
      </c>
      <c r="BR1" t="s">
        <v>595</v>
      </c>
      <c r="BS1" t="s">
        <v>596</v>
      </c>
      <c r="BT1" t="s">
        <v>597</v>
      </c>
      <c r="BU1" t="s">
        <v>598</v>
      </c>
      <c r="BV1" t="s">
        <v>599</v>
      </c>
      <c r="BW1" t="s">
        <v>600</v>
      </c>
      <c r="BX1" t="s">
        <v>601</v>
      </c>
      <c r="BY1" t="s">
        <v>602</v>
      </c>
      <c r="BZ1" t="s">
        <v>603</v>
      </c>
      <c r="CA1" t="s">
        <v>604</v>
      </c>
      <c r="CB1" t="s">
        <v>605</v>
      </c>
      <c r="CC1" t="s">
        <v>606</v>
      </c>
      <c r="CD1" t="s">
        <v>607</v>
      </c>
      <c r="CE1" t="s">
        <v>608</v>
      </c>
      <c r="CF1" t="s">
        <v>609</v>
      </c>
      <c r="CG1" t="s">
        <v>610</v>
      </c>
      <c r="CH1" t="s">
        <v>611</v>
      </c>
      <c r="CI1" t="s">
        <v>612</v>
      </c>
      <c r="CJ1" t="s">
        <v>613</v>
      </c>
      <c r="CK1" t="s">
        <v>614</v>
      </c>
      <c r="CL1" t="s">
        <v>615</v>
      </c>
      <c r="CM1" t="s">
        <v>616</v>
      </c>
      <c r="CN1" t="s">
        <v>617</v>
      </c>
      <c r="CO1" t="s">
        <v>618</v>
      </c>
      <c r="CP1" t="s">
        <v>619</v>
      </c>
      <c r="CQ1" t="s">
        <v>620</v>
      </c>
      <c r="CR1" t="s">
        <v>621</v>
      </c>
      <c r="CS1" t="s">
        <v>622</v>
      </c>
      <c r="CT1" t="s">
        <v>623</v>
      </c>
      <c r="CU1" t="s">
        <v>624</v>
      </c>
      <c r="CV1" t="s">
        <v>625</v>
      </c>
      <c r="CW1" t="s">
        <v>221</v>
      </c>
      <c r="CX1" t="s">
        <v>222</v>
      </c>
      <c r="CY1" t="s">
        <v>626</v>
      </c>
      <c r="CZ1" t="s">
        <v>627</v>
      </c>
      <c r="DA1" t="s">
        <v>628</v>
      </c>
      <c r="DB1" t="s">
        <v>629</v>
      </c>
      <c r="DC1" t="s">
        <v>630</v>
      </c>
      <c r="DD1" t="s">
        <v>631</v>
      </c>
      <c r="DE1" t="s">
        <v>632</v>
      </c>
      <c r="DF1" t="s">
        <v>633</v>
      </c>
      <c r="DG1" t="s">
        <v>634</v>
      </c>
      <c r="DH1" t="s">
        <v>635</v>
      </c>
      <c r="DI1" t="s">
        <v>636</v>
      </c>
      <c r="DJ1" t="s">
        <v>637</v>
      </c>
      <c r="DK1" t="s">
        <v>638</v>
      </c>
      <c r="DL1" t="s">
        <v>639</v>
      </c>
      <c r="DM1" t="s">
        <v>640</v>
      </c>
      <c r="DN1" t="s">
        <v>641</v>
      </c>
      <c r="DO1" t="s">
        <v>642</v>
      </c>
      <c r="DP1" t="s">
        <v>643</v>
      </c>
      <c r="DQ1" t="s">
        <v>644</v>
      </c>
      <c r="DR1" t="s">
        <v>645</v>
      </c>
      <c r="DS1" t="s">
        <v>646</v>
      </c>
      <c r="DT1" t="s">
        <v>647</v>
      </c>
      <c r="DU1" t="s">
        <v>648</v>
      </c>
      <c r="DV1" t="s">
        <v>649</v>
      </c>
      <c r="DW1" t="s">
        <v>650</v>
      </c>
      <c r="DX1" t="s">
        <v>651</v>
      </c>
      <c r="DY1" t="s">
        <v>652</v>
      </c>
      <c r="DZ1" t="s">
        <v>653</v>
      </c>
      <c r="EA1" t="s">
        <v>654</v>
      </c>
      <c r="EB1" t="s">
        <v>655</v>
      </c>
      <c r="EC1" t="s">
        <v>656</v>
      </c>
      <c r="ED1" t="s">
        <v>657</v>
      </c>
      <c r="EE1" t="s">
        <v>658</v>
      </c>
      <c r="EF1" t="s">
        <v>659</v>
      </c>
      <c r="EG1" t="s">
        <v>660</v>
      </c>
      <c r="EH1" t="s">
        <v>663</v>
      </c>
      <c r="EI1" t="s">
        <v>664</v>
      </c>
      <c r="EJ1" t="s">
        <v>665</v>
      </c>
      <c r="EK1" t="s">
        <v>666</v>
      </c>
      <c r="EL1" t="s">
        <v>223</v>
      </c>
      <c r="EM1" t="s">
        <v>224</v>
      </c>
      <c r="EN1" t="s">
        <v>667</v>
      </c>
      <c r="EO1" t="s">
        <v>668</v>
      </c>
      <c r="EP1" t="s">
        <v>669</v>
      </c>
      <c r="EQ1" t="s">
        <v>670</v>
      </c>
      <c r="ER1" t="s">
        <v>671</v>
      </c>
      <c r="ES1" t="s">
        <v>672</v>
      </c>
      <c r="ET1" t="s">
        <v>673</v>
      </c>
      <c r="EU1" t="s">
        <v>674</v>
      </c>
      <c r="EV1" t="s">
        <v>675</v>
      </c>
      <c r="EW1" t="s">
        <v>676</v>
      </c>
      <c r="EX1" t="s">
        <v>677</v>
      </c>
      <c r="EY1" t="s">
        <v>678</v>
      </c>
      <c r="EZ1" t="s">
        <v>679</v>
      </c>
      <c r="FA1" t="s">
        <v>680</v>
      </c>
      <c r="FB1" t="s">
        <v>681</v>
      </c>
      <c r="FC1" t="s">
        <v>682</v>
      </c>
      <c r="FD1" t="s">
        <v>683</v>
      </c>
      <c r="FE1" t="s">
        <v>684</v>
      </c>
      <c r="FF1" t="s">
        <v>685</v>
      </c>
      <c r="FG1" t="s">
        <v>686</v>
      </c>
      <c r="FH1" t="s">
        <v>687</v>
      </c>
      <c r="FI1" t="s">
        <v>688</v>
      </c>
      <c r="FJ1" t="s">
        <v>689</v>
      </c>
      <c r="FK1" t="s">
        <v>690</v>
      </c>
      <c r="FL1" t="s">
        <v>691</v>
      </c>
      <c r="FM1" t="s">
        <v>692</v>
      </c>
      <c r="FN1" t="s">
        <v>693</v>
      </c>
      <c r="FO1" t="s">
        <v>694</v>
      </c>
      <c r="FP1" t="s">
        <v>695</v>
      </c>
      <c r="FQ1" t="s">
        <v>696</v>
      </c>
      <c r="FR1" t="s">
        <v>697</v>
      </c>
      <c r="FS1" t="s">
        <v>698</v>
      </c>
      <c r="FT1" t="s">
        <v>699</v>
      </c>
      <c r="FU1" t="s">
        <v>700</v>
      </c>
      <c r="FV1" t="s">
        <v>701</v>
      </c>
      <c r="FW1" t="s">
        <v>703</v>
      </c>
      <c r="FX1" t="s">
        <v>704</v>
      </c>
      <c r="FY1" t="s">
        <v>705</v>
      </c>
      <c r="FZ1" t="s">
        <v>706</v>
      </c>
      <c r="GA1" t="s">
        <v>225</v>
      </c>
      <c r="GB1" t="s">
        <v>226</v>
      </c>
      <c r="GC1" t="s">
        <v>707</v>
      </c>
      <c r="GD1" t="s">
        <v>708</v>
      </c>
      <c r="GE1" t="s">
        <v>709</v>
      </c>
      <c r="GF1" t="s">
        <v>710</v>
      </c>
      <c r="GG1" t="s">
        <v>711</v>
      </c>
      <c r="GH1" t="s">
        <v>712</v>
      </c>
      <c r="GI1" t="s">
        <v>713</v>
      </c>
      <c r="GJ1" t="s">
        <v>714</v>
      </c>
      <c r="GK1" t="s">
        <v>715</v>
      </c>
      <c r="GL1" t="s">
        <v>716</v>
      </c>
      <c r="GM1" t="s">
        <v>717</v>
      </c>
      <c r="GN1" t="s">
        <v>718</v>
      </c>
      <c r="GO1" t="s">
        <v>719</v>
      </c>
      <c r="GP1" t="s">
        <v>720</v>
      </c>
      <c r="GQ1" t="s">
        <v>721</v>
      </c>
      <c r="GR1" t="s">
        <v>722</v>
      </c>
      <c r="GS1" t="s">
        <v>723</v>
      </c>
      <c r="GT1" t="s">
        <v>724</v>
      </c>
      <c r="GU1" t="s">
        <v>725</v>
      </c>
      <c r="GV1" t="s">
        <v>726</v>
      </c>
      <c r="GW1" t="s">
        <v>727</v>
      </c>
      <c r="GX1" t="s">
        <v>728</v>
      </c>
      <c r="GY1" t="s">
        <v>729</v>
      </c>
      <c r="GZ1" t="s">
        <v>730</v>
      </c>
      <c r="HA1" t="s">
        <v>731</v>
      </c>
      <c r="HB1" t="s">
        <v>732</v>
      </c>
      <c r="HC1" t="s">
        <v>733</v>
      </c>
      <c r="HD1" t="s">
        <v>734</v>
      </c>
      <c r="HE1" t="s">
        <v>735</v>
      </c>
      <c r="HF1" t="s">
        <v>736</v>
      </c>
      <c r="HG1" t="s">
        <v>737</v>
      </c>
      <c r="HH1" t="s">
        <v>738</v>
      </c>
      <c r="HI1" t="s">
        <v>739</v>
      </c>
      <c r="HJ1" t="s">
        <v>740</v>
      </c>
      <c r="HK1" t="s">
        <v>741</v>
      </c>
      <c r="HL1" t="s">
        <v>743</v>
      </c>
      <c r="HM1" t="s">
        <v>744</v>
      </c>
      <c r="HN1" t="s">
        <v>745</v>
      </c>
      <c r="HO1" t="s">
        <v>746</v>
      </c>
      <c r="HP1" t="s">
        <v>227</v>
      </c>
      <c r="HQ1" t="s">
        <v>228</v>
      </c>
    </row>
    <row r="2" spans="1:225" x14ac:dyDescent="0.25">
      <c r="A2" s="23" t="str">
        <f>County</f>
        <v>Alameda</v>
      </c>
      <c r="B2" s="25">
        <f>Reportdate</f>
        <v>44468</v>
      </c>
      <c r="C2" s="24" t="e">
        <f>Chief</f>
        <v>#REF!</v>
      </c>
      <c r="D2" t="e">
        <f>Chiefphone2</f>
        <v>#REF!</v>
      </c>
      <c r="E2" s="10" t="e">
        <f>Address</f>
        <v>#REF!</v>
      </c>
      <c r="F2" s="10" t="e">
        <f>City</f>
        <v>#REF!</v>
      </c>
      <c r="G2" s="9" t="e">
        <f>ZIP</f>
        <v>#REF!</v>
      </c>
      <c r="H2" s="10" t="e">
        <f>Chiefemail2</f>
        <v>#REF!</v>
      </c>
      <c r="I2" t="str">
        <f>primcontact</f>
        <v>Marcus Dawal</v>
      </c>
      <c r="J2" t="str">
        <f>primarytitle</f>
        <v>Interim Chief Probation Officer</v>
      </c>
      <c r="K2" t="str">
        <f>primphone</f>
        <v>510-268-7233</v>
      </c>
      <c r="L2" s="10" t="str">
        <f>preemail</f>
        <v>mdawal@acgov.org</v>
      </c>
      <c r="M2" t="str">
        <f>seccontact</f>
        <v>Brian Ford</v>
      </c>
      <c r="N2" t="str">
        <f>seccontitle</f>
        <v xml:space="preserve">Assistant Chief </v>
      </c>
      <c r="O2" t="str">
        <f>secphone</f>
        <v>510-268-7228</v>
      </c>
      <c r="P2" t="str">
        <f>secemail</f>
        <v>brford@acgov.org</v>
      </c>
      <c r="Q2" t="e">
        <f>t1yobgtot+t2yobgtot+t3yobgtot+t4yobgtot+t5yobgtot+t6yobgtot+t7yobgtot+t8yobgtot+t9yobgtot+t10yobgtot</f>
        <v>#REF!</v>
      </c>
      <c r="R2" t="e">
        <f>t1jjcpatot+t2jjcpatot+t3jjcpatot+t4jjcpatot+t5jjcpatot+t6jjcpatot+t7jjcpatot+t8jjcpatot+t9jjcpatot+t10jjcpatot</f>
        <v>#REF!</v>
      </c>
      <c r="S2" t="e">
        <f>t1othertot+t2othertot+t3othertot+t4othertot+t5othertot+t6othertot+t7othertot+t8othertot+t9othertot+t10othertot</f>
        <v>#REF!</v>
      </c>
      <c r="T2" t="e">
        <f>t1casecount+t2casecount+t3casecount+t4casecount+t5casecount+t6casecount+t7casecount+t8casecount+t9casecount+t10casecount</f>
        <v>#REF!</v>
      </c>
      <c r="U2" s="10" t="e">
        <f>Numecodet1</f>
        <v>#REF!</v>
      </c>
      <c r="V2" s="10" t="e">
        <f>Numealtt1</f>
        <v>#REF!</v>
      </c>
      <c r="W2" s="11">
        <f>t1yobgsal</f>
        <v>3251875</v>
      </c>
      <c r="X2" s="11">
        <f>t1yobgserv</f>
        <v>147508</v>
      </c>
      <c r="Y2" s="11">
        <f>t1yobgprof</f>
        <v>0</v>
      </c>
      <c r="Z2" s="11">
        <f>t1yobgcbo</f>
        <v>0</v>
      </c>
      <c r="AA2" s="11">
        <f>t1yobgequip</f>
        <v>0</v>
      </c>
      <c r="AB2" s="11">
        <f>t1yobgadmin</f>
        <v>27684</v>
      </c>
      <c r="AC2" s="11">
        <f>t1yobgothr1</f>
        <v>67939</v>
      </c>
      <c r="AD2" s="11">
        <f>t1yobgothr2</f>
        <v>0</v>
      </c>
      <c r="AE2" s="11">
        <f>t1yobgothr3</f>
        <v>0</v>
      </c>
      <c r="AF2" s="11">
        <f>t1yobgtot</f>
        <v>3495006</v>
      </c>
      <c r="AG2" s="11">
        <f>t1jjcpasal</f>
        <v>0</v>
      </c>
      <c r="AH2" s="11">
        <f>t1jjcpaserv</f>
        <v>0</v>
      </c>
      <c r="AI2" s="11">
        <f>t1jjcpaprof</f>
        <v>0</v>
      </c>
      <c r="AJ2" s="11">
        <f>t1jjcpacbo</f>
        <v>0</v>
      </c>
      <c r="AK2" s="11">
        <f>t1jjcpaequip</f>
        <v>0</v>
      </c>
      <c r="AL2" s="11">
        <f>t1jjcpaadmin</f>
        <v>0</v>
      </c>
      <c r="AM2" s="11">
        <f>t1jjcpaothr1</f>
        <v>0</v>
      </c>
      <c r="AN2" s="11">
        <f>t1jjcpaothr2</f>
        <v>0</v>
      </c>
      <c r="AO2" s="11">
        <f>t1jjcpaothr3</f>
        <v>0</v>
      </c>
      <c r="AP2" s="11">
        <f>t1jjcpatot</f>
        <v>0</v>
      </c>
      <c r="AQ2" s="11">
        <f>t1othersal</f>
        <v>0</v>
      </c>
      <c r="AR2" s="11">
        <f>t1otherserv</f>
        <v>0</v>
      </c>
      <c r="AS2" s="11">
        <f>t1otherprof</f>
        <v>0</v>
      </c>
      <c r="AT2" s="11">
        <f>t1othercbo</f>
        <v>0</v>
      </c>
      <c r="AU2" s="11">
        <f>t1otherequip</f>
        <v>0</v>
      </c>
      <c r="AV2" s="11">
        <f>t1otheradmin</f>
        <v>0</v>
      </c>
      <c r="AW2" s="11">
        <f>t1otherothr1</f>
        <v>156846</v>
      </c>
      <c r="AX2" s="11">
        <f>t1otherothr2</f>
        <v>0</v>
      </c>
      <c r="AY2" s="11">
        <f>t1otherothr3</f>
        <v>0</v>
      </c>
      <c r="AZ2" s="11">
        <f>t1othertot</f>
        <v>156846</v>
      </c>
      <c r="BA2" s="9" t="e">
        <f>t1casecount</f>
        <v>#REF!</v>
      </c>
      <c r="BB2" s="12" t="e">
        <f>t1yobgpercap</f>
        <v>#REF!</v>
      </c>
      <c r="BC2" s="12" t="e">
        <f>t1totpercap</f>
        <v>#REF!</v>
      </c>
      <c r="BD2" s="9" t="e">
        <f>t1youth1</f>
        <v>#REF!</v>
      </c>
      <c r="BE2" s="9" t="e">
        <f>t1youth2</f>
        <v>#REF!</v>
      </c>
      <c r="BF2" s="9" t="e">
        <f>t1youth3</f>
        <v>#REF!</v>
      </c>
      <c r="BG2" s="9" t="e">
        <f>t1youth4</f>
        <v>#REF!</v>
      </c>
      <c r="BH2" s="9" t="e">
        <f>t1youth5</f>
        <v>#REF!</v>
      </c>
      <c r="BI2" s="9" t="e">
        <f>t1youth6</f>
        <v>#REF!</v>
      </c>
      <c r="BJ2" s="13" t="e">
        <f>Numecodet2</f>
        <v>#REF!</v>
      </c>
      <c r="BK2" s="10" t="e">
        <f>Numealtt2</f>
        <v>#REF!</v>
      </c>
      <c r="BL2" s="11" t="e">
        <f>t2yobgsal</f>
        <v>#REF!</v>
      </c>
      <c r="BM2" s="11" t="e">
        <f>t2yobgserv</f>
        <v>#REF!</v>
      </c>
      <c r="BN2" s="11" t="e">
        <f>t2yobgprof</f>
        <v>#REF!</v>
      </c>
      <c r="BO2" s="11" t="e">
        <f>t2yobgcbo</f>
        <v>#REF!</v>
      </c>
      <c r="BP2" s="11" t="e">
        <f>t2yobgequip</f>
        <v>#REF!</v>
      </c>
      <c r="BQ2" s="11" t="e">
        <f>t2yobgadmin</f>
        <v>#REF!</v>
      </c>
      <c r="BR2" s="11" t="e">
        <f>t2yobgothr1</f>
        <v>#REF!</v>
      </c>
      <c r="BS2" s="11" t="e">
        <f>t2yobgothr2</f>
        <v>#REF!</v>
      </c>
      <c r="BT2" s="11" t="e">
        <f>t2yobgothr3</f>
        <v>#REF!</v>
      </c>
      <c r="BU2" s="11" t="e">
        <f>t2yobgtot</f>
        <v>#REF!</v>
      </c>
      <c r="BV2" s="11" t="e">
        <f>t2jjcpasal</f>
        <v>#REF!</v>
      </c>
      <c r="BW2" s="11" t="e">
        <f>t2jjcpaserv</f>
        <v>#REF!</v>
      </c>
      <c r="BX2" s="11" t="e">
        <f>t2jjcpaprof</f>
        <v>#REF!</v>
      </c>
      <c r="BY2" s="11" t="e">
        <f>t2jjcpacbo</f>
        <v>#REF!</v>
      </c>
      <c r="BZ2" s="11" t="e">
        <f>t2jjcpaequip</f>
        <v>#REF!</v>
      </c>
      <c r="CA2" s="11" t="e">
        <f>t2jjcpaadmin</f>
        <v>#REF!</v>
      </c>
      <c r="CB2" s="11" t="e">
        <f>t2jjcpaothr1</f>
        <v>#REF!</v>
      </c>
      <c r="CC2" s="11" t="e">
        <f>t2jjcpaothr2</f>
        <v>#REF!</v>
      </c>
      <c r="CD2" s="11" t="e">
        <f>t2jjcpaothr3</f>
        <v>#REF!</v>
      </c>
      <c r="CE2" s="11" t="e">
        <f>t2jjcpatot</f>
        <v>#REF!</v>
      </c>
      <c r="CF2" s="11" t="e">
        <f>t2othersal</f>
        <v>#REF!</v>
      </c>
      <c r="CG2" s="11" t="e">
        <f>t2otherserv</f>
        <v>#REF!</v>
      </c>
      <c r="CH2" s="11" t="e">
        <f>t2otherprof</f>
        <v>#REF!</v>
      </c>
      <c r="CI2" s="11" t="e">
        <f>t2othercbo</f>
        <v>#REF!</v>
      </c>
      <c r="CJ2" s="11" t="e">
        <f>t2otherequip</f>
        <v>#REF!</v>
      </c>
      <c r="CK2" s="11" t="e">
        <f>t2otheradmin</f>
        <v>#REF!</v>
      </c>
      <c r="CL2" s="11" t="e">
        <f>t2otherothr1</f>
        <v>#REF!</v>
      </c>
      <c r="CM2" s="11" t="e">
        <f>t2otherothr2</f>
        <v>#REF!</v>
      </c>
      <c r="CN2" s="11" t="e">
        <f>t2otherothr3</f>
        <v>#REF!</v>
      </c>
      <c r="CO2" s="11" t="e">
        <f>t2othertot</f>
        <v>#REF!</v>
      </c>
      <c r="CP2" s="9" t="e">
        <f>t2casecount</f>
        <v>#REF!</v>
      </c>
      <c r="CQ2" s="12" t="e">
        <f>t2yobgpercap</f>
        <v>#REF!</v>
      </c>
      <c r="CR2" s="12" t="e">
        <f>t2totpercap</f>
        <v>#REF!</v>
      </c>
      <c r="CS2" s="9" t="e">
        <f>t2youth1</f>
        <v>#REF!</v>
      </c>
      <c r="CT2" s="9" t="e">
        <f>t2youth2</f>
        <v>#REF!</v>
      </c>
      <c r="CU2" s="9" t="e">
        <f>t2youth3</f>
        <v>#REF!</v>
      </c>
      <c r="CV2" s="9" t="e">
        <f>t2youth4</f>
        <v>#REF!</v>
      </c>
      <c r="CW2" s="9" t="e">
        <f>t2youth5</f>
        <v>#REF!</v>
      </c>
      <c r="CX2" s="9" t="e">
        <f>t2youth6</f>
        <v>#REF!</v>
      </c>
      <c r="CY2" s="13" t="e">
        <f>Numecodet3</f>
        <v>#REF!</v>
      </c>
      <c r="CZ2" s="10" t="e">
        <f>Numealtt3</f>
        <v>#REF!</v>
      </c>
      <c r="DA2" s="11" t="e">
        <f>t3yobgsal</f>
        <v>#REF!</v>
      </c>
      <c r="DB2" s="11" t="e">
        <f>t3yobgserv</f>
        <v>#REF!</v>
      </c>
      <c r="DC2" s="11" t="e">
        <f>t3yobgprof</f>
        <v>#REF!</v>
      </c>
      <c r="DD2" s="11" t="e">
        <f>t3yobgcbo</f>
        <v>#REF!</v>
      </c>
      <c r="DE2" s="11" t="e">
        <f>t3yobgequip</f>
        <v>#REF!</v>
      </c>
      <c r="DF2" s="11" t="e">
        <f>t3yobgadmin</f>
        <v>#REF!</v>
      </c>
      <c r="DG2" s="11" t="e">
        <f>t3yobgothr1</f>
        <v>#REF!</v>
      </c>
      <c r="DH2" s="11" t="e">
        <f>t3yobgothr2</f>
        <v>#REF!</v>
      </c>
      <c r="DI2" s="11" t="e">
        <f>t3yobgothr3</f>
        <v>#REF!</v>
      </c>
      <c r="DJ2" s="11" t="e">
        <f>t3yobgtot</f>
        <v>#REF!</v>
      </c>
      <c r="DK2" s="11" t="e">
        <f>t3jjcpasal</f>
        <v>#REF!</v>
      </c>
      <c r="DL2" s="11" t="e">
        <f>t3jjcpaserv</f>
        <v>#REF!</v>
      </c>
      <c r="DM2" s="11" t="e">
        <f>t3jjcpaprof</f>
        <v>#REF!</v>
      </c>
      <c r="DN2" s="11" t="e">
        <f>t3jjcpacbo</f>
        <v>#REF!</v>
      </c>
      <c r="DO2" s="11" t="e">
        <f>t3jjcpaequip</f>
        <v>#REF!</v>
      </c>
      <c r="DP2" s="11" t="e">
        <f>t3jjcpaadmin</f>
        <v>#REF!</v>
      </c>
      <c r="DQ2" s="11" t="e">
        <f>t3jjcpaothr1</f>
        <v>#REF!</v>
      </c>
      <c r="DR2" s="11" t="e">
        <f>t3jjcpaothr2</f>
        <v>#REF!</v>
      </c>
      <c r="DS2" s="11" t="e">
        <f>t3jjcpaothr3</f>
        <v>#REF!</v>
      </c>
      <c r="DT2" s="11" t="e">
        <f>t3jjcpatot</f>
        <v>#REF!</v>
      </c>
      <c r="DU2" s="11" t="e">
        <f>t3othersal</f>
        <v>#REF!</v>
      </c>
      <c r="DV2" s="11" t="e">
        <f>t3otherserv</f>
        <v>#REF!</v>
      </c>
      <c r="DW2" s="11" t="e">
        <f>t3otherprof</f>
        <v>#REF!</v>
      </c>
      <c r="DX2" s="11" t="e">
        <f>t3othercbo</f>
        <v>#REF!</v>
      </c>
      <c r="DY2" s="11" t="e">
        <f>t3otherequip</f>
        <v>#REF!</v>
      </c>
      <c r="DZ2" s="11" t="e">
        <f>t3otheradmin</f>
        <v>#REF!</v>
      </c>
      <c r="EA2" s="11" t="e">
        <f>t3otherothr1</f>
        <v>#REF!</v>
      </c>
      <c r="EB2" s="11" t="e">
        <f>t3otherothr2</f>
        <v>#REF!</v>
      </c>
      <c r="EC2" s="11" t="e">
        <f>t3otherothr3</f>
        <v>#REF!</v>
      </c>
      <c r="ED2" s="11" t="e">
        <f>t3othertot</f>
        <v>#REF!</v>
      </c>
      <c r="EE2" s="9" t="e">
        <f>t3casecount</f>
        <v>#REF!</v>
      </c>
      <c r="EF2" s="12" t="e">
        <f>t3yobgpercap</f>
        <v>#REF!</v>
      </c>
      <c r="EG2" s="12" t="e">
        <f>t3totpercap</f>
        <v>#REF!</v>
      </c>
      <c r="EH2" s="9" t="e">
        <f>t3youth1</f>
        <v>#REF!</v>
      </c>
      <c r="EI2" s="9" t="e">
        <f>t3youth2</f>
        <v>#REF!</v>
      </c>
      <c r="EJ2" s="9" t="e">
        <f>t3youth3</f>
        <v>#REF!</v>
      </c>
      <c r="EK2" s="9" t="e">
        <f>t3youth4</f>
        <v>#REF!</v>
      </c>
      <c r="EL2" s="9" t="e">
        <f>t3youth5</f>
        <v>#REF!</v>
      </c>
      <c r="EM2" s="9" t="e">
        <f>t3youth6</f>
        <v>#REF!</v>
      </c>
      <c r="EN2" s="13" t="e">
        <f>Numecodet4</f>
        <v>#REF!</v>
      </c>
      <c r="EO2" s="10" t="e">
        <f>Numealtt4</f>
        <v>#REF!</v>
      </c>
      <c r="EP2" s="11" t="e">
        <f>t4yobgsal</f>
        <v>#REF!</v>
      </c>
      <c r="EQ2" s="11" t="e">
        <f>t4yobgserv</f>
        <v>#REF!</v>
      </c>
      <c r="ER2" s="11" t="e">
        <f>t4yobgprof</f>
        <v>#REF!</v>
      </c>
      <c r="ES2" s="11" t="e">
        <f>t4yobgcbo</f>
        <v>#REF!</v>
      </c>
      <c r="ET2" s="11" t="e">
        <f>t4yobgequip</f>
        <v>#REF!</v>
      </c>
      <c r="EU2" s="11" t="e">
        <f>t4yobgadmin</f>
        <v>#REF!</v>
      </c>
      <c r="EV2" s="11" t="e">
        <f>t4yobgothr1</f>
        <v>#REF!</v>
      </c>
      <c r="EW2" s="11" t="e">
        <f>t4yobgothr2</f>
        <v>#REF!</v>
      </c>
      <c r="EX2" s="11" t="e">
        <f>t4yobgothr3</f>
        <v>#REF!</v>
      </c>
      <c r="EY2" s="11" t="e">
        <f>t4yobgtot</f>
        <v>#REF!</v>
      </c>
      <c r="EZ2" s="11" t="e">
        <f>t4jjcpasal</f>
        <v>#REF!</v>
      </c>
      <c r="FA2" s="11" t="e">
        <f>t4jjcpaserv</f>
        <v>#REF!</v>
      </c>
      <c r="FB2" s="11" t="e">
        <f>t4jjcpaprof</f>
        <v>#REF!</v>
      </c>
      <c r="FC2" s="11" t="e">
        <f>t4jjcpacbo</f>
        <v>#REF!</v>
      </c>
      <c r="FD2" s="11" t="e">
        <f>t4jjcpaequip</f>
        <v>#REF!</v>
      </c>
      <c r="FE2" s="11" t="e">
        <f>t4jjcpaadmin</f>
        <v>#REF!</v>
      </c>
      <c r="FF2" s="11" t="e">
        <f>t4jjcpaothr1</f>
        <v>#REF!</v>
      </c>
      <c r="FG2" s="11" t="e">
        <f>t4jjcpaothr2</f>
        <v>#REF!</v>
      </c>
      <c r="FH2" s="11" t="e">
        <f>t4jjcpaothr3</f>
        <v>#REF!</v>
      </c>
      <c r="FI2" s="11" t="e">
        <f>t4jjcpatot</f>
        <v>#REF!</v>
      </c>
      <c r="FJ2" s="11" t="e">
        <f>t4othersal</f>
        <v>#REF!</v>
      </c>
      <c r="FK2" s="11" t="e">
        <f>t4otherserv</f>
        <v>#REF!</v>
      </c>
      <c r="FL2" s="11" t="e">
        <f>t4otherprof</f>
        <v>#REF!</v>
      </c>
      <c r="FM2" s="11" t="e">
        <f>t4othercbo</f>
        <v>#REF!</v>
      </c>
      <c r="FN2" s="11" t="e">
        <f>t4otherequip</f>
        <v>#REF!</v>
      </c>
      <c r="FO2" s="11" t="e">
        <f>t4otheradmin</f>
        <v>#REF!</v>
      </c>
      <c r="FP2" s="11" t="e">
        <f>t4otherothr1</f>
        <v>#REF!</v>
      </c>
      <c r="FQ2" s="11" t="e">
        <f>t4otherothr2</f>
        <v>#REF!</v>
      </c>
      <c r="FR2" s="11" t="e">
        <f>t4otherothr3</f>
        <v>#REF!</v>
      </c>
      <c r="FS2" s="11" t="e">
        <f>t4othertot</f>
        <v>#REF!</v>
      </c>
      <c r="FT2" s="9" t="e">
        <f>t4casecount</f>
        <v>#REF!</v>
      </c>
      <c r="FU2" s="12" t="e">
        <f>t4yobgpercap</f>
        <v>#REF!</v>
      </c>
      <c r="FV2" s="12" t="e">
        <f>t4totpercap</f>
        <v>#REF!</v>
      </c>
      <c r="FW2" s="9" t="e">
        <f>t4youth1</f>
        <v>#REF!</v>
      </c>
      <c r="FX2" s="9" t="e">
        <f>t4youth2</f>
        <v>#REF!</v>
      </c>
      <c r="FY2" s="9" t="e">
        <f>t4youth3</f>
        <v>#REF!</v>
      </c>
      <c r="FZ2" s="9" t="e">
        <f>t4youth4</f>
        <v>#REF!</v>
      </c>
      <c r="GA2" s="9" t="e">
        <f>t4youth5</f>
        <v>#REF!</v>
      </c>
      <c r="GB2" s="9" t="e">
        <f>t4youth6</f>
        <v>#REF!</v>
      </c>
      <c r="GC2" s="13" t="e">
        <f>Numecodet5</f>
        <v>#REF!</v>
      </c>
      <c r="GD2" s="10" t="e">
        <f>Numealtt5</f>
        <v>#REF!</v>
      </c>
      <c r="GE2" s="11" t="e">
        <f>t5yobgsal</f>
        <v>#REF!</v>
      </c>
      <c r="GF2" s="11" t="e">
        <f>t5yobgserv</f>
        <v>#REF!</v>
      </c>
      <c r="GG2" s="11" t="e">
        <f>t5yobgprof</f>
        <v>#REF!</v>
      </c>
      <c r="GH2" s="11" t="e">
        <f>t5yobgcbo</f>
        <v>#REF!</v>
      </c>
      <c r="GI2" s="11" t="e">
        <f>t5yobgequip</f>
        <v>#REF!</v>
      </c>
      <c r="GJ2" s="11" t="e">
        <f>t5yobgadmin</f>
        <v>#REF!</v>
      </c>
      <c r="GK2" s="11" t="e">
        <f>t5yobgothr1</f>
        <v>#REF!</v>
      </c>
      <c r="GL2" s="11" t="e">
        <f>t5yobgothr2</f>
        <v>#REF!</v>
      </c>
      <c r="GM2" s="11" t="e">
        <f>t5yobgothr3</f>
        <v>#REF!</v>
      </c>
      <c r="GN2" s="11" t="e">
        <f>t5yobgtot</f>
        <v>#REF!</v>
      </c>
      <c r="GO2" s="11" t="e">
        <f>t5jjcpasal</f>
        <v>#REF!</v>
      </c>
      <c r="GP2" s="11" t="e">
        <f>t5jjcpaserv</f>
        <v>#REF!</v>
      </c>
      <c r="GQ2" s="11" t="e">
        <f>t5jjcpaprof</f>
        <v>#REF!</v>
      </c>
      <c r="GR2" s="11" t="e">
        <f>t5jjcpacbo</f>
        <v>#REF!</v>
      </c>
      <c r="GS2" s="11" t="e">
        <f>t5jjcpaequip</f>
        <v>#REF!</v>
      </c>
      <c r="GT2" s="11" t="e">
        <f>t5jjcpaadmin</f>
        <v>#REF!</v>
      </c>
      <c r="GU2" s="11" t="e">
        <f>t5jjcpaothr1</f>
        <v>#REF!</v>
      </c>
      <c r="GV2" s="11" t="e">
        <f>t5jjcpaothr2</f>
        <v>#REF!</v>
      </c>
      <c r="GW2" s="11" t="e">
        <f>t5jjcpaothr3</f>
        <v>#REF!</v>
      </c>
      <c r="GX2" s="11" t="e">
        <f>t5jjcpatot</f>
        <v>#REF!</v>
      </c>
      <c r="GY2" s="11" t="e">
        <f>t5othersal</f>
        <v>#REF!</v>
      </c>
      <c r="GZ2" s="11" t="e">
        <f>t5otherserv</f>
        <v>#REF!</v>
      </c>
      <c r="HA2" s="11" t="e">
        <f>t5otherprof</f>
        <v>#REF!</v>
      </c>
      <c r="HB2" s="11" t="e">
        <f>t5othercbo</f>
        <v>#REF!</v>
      </c>
      <c r="HC2" s="11" t="e">
        <f>t5otherequip</f>
        <v>#REF!</v>
      </c>
      <c r="HD2" s="11" t="e">
        <f>t5otheradmin</f>
        <v>#REF!</v>
      </c>
      <c r="HE2" s="11" t="e">
        <f>t5otherothr1</f>
        <v>#REF!</v>
      </c>
      <c r="HF2" s="11" t="e">
        <f>t5otherothr2</f>
        <v>#REF!</v>
      </c>
      <c r="HG2" s="11" t="e">
        <f>t5otherothr3</f>
        <v>#REF!</v>
      </c>
      <c r="HH2" s="11" t="e">
        <f>t5othertot</f>
        <v>#REF!</v>
      </c>
      <c r="HI2" s="9" t="e">
        <f>t5casecount</f>
        <v>#REF!</v>
      </c>
      <c r="HJ2" s="12" t="e">
        <f>t5yobgpercap</f>
        <v>#REF!</v>
      </c>
      <c r="HK2" s="12" t="e">
        <f>t5totpercap</f>
        <v>#REF!</v>
      </c>
      <c r="HL2" s="9" t="e">
        <f>t5youth1</f>
        <v>#REF!</v>
      </c>
      <c r="HM2" s="9" t="e">
        <f>t5youth2</f>
        <v>#REF!</v>
      </c>
      <c r="HN2" s="9" t="e">
        <f>t5youth3</f>
        <v>#REF!</v>
      </c>
      <c r="HO2" s="9" t="e">
        <f>t5youth4</f>
        <v>#REF!</v>
      </c>
      <c r="HP2" s="9" t="e">
        <f>t5youth5</f>
        <v>#REF!</v>
      </c>
      <c r="HQ2" s="9" t="e">
        <f>t5youth6</f>
        <v>#REF!</v>
      </c>
    </row>
  </sheetData>
  <sheetProtection password="CB13" sheet="1"/>
  <dataValidations count="1">
    <dataValidation type="list" allowBlank="1" showDropDown="1" showInputMessage="1" showErrorMessage="1" sqref="E2" xr:uid="{00000000-0002-0000-1000-000000000000}">
      <formula1>Address2</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dimension ref="A1:HQ2"/>
  <sheetViews>
    <sheetView workbookViewId="0">
      <selection activeCell="H26" sqref="H26:I26"/>
    </sheetView>
  </sheetViews>
  <sheetFormatPr defaultRowHeight="13.2" x14ac:dyDescent="0.25"/>
  <sheetData>
    <row r="1" spans="1:225" x14ac:dyDescent="0.25">
      <c r="A1" t="s">
        <v>539</v>
      </c>
      <c r="B1" t="s">
        <v>747</v>
      </c>
      <c r="C1" t="s">
        <v>748</v>
      </c>
      <c r="D1" t="s">
        <v>749</v>
      </c>
      <c r="E1" t="s">
        <v>750</v>
      </c>
      <c r="F1" t="s">
        <v>0</v>
      </c>
      <c r="G1" t="s">
        <v>1</v>
      </c>
      <c r="H1" t="s">
        <v>2</v>
      </c>
      <c r="I1" t="s">
        <v>3</v>
      </c>
      <c r="J1" t="s">
        <v>4</v>
      </c>
      <c r="K1" t="s">
        <v>5</v>
      </c>
      <c r="L1" t="s">
        <v>6</v>
      </c>
      <c r="M1" t="s">
        <v>7</v>
      </c>
      <c r="N1" t="s">
        <v>8</v>
      </c>
      <c r="O1" t="s">
        <v>9</v>
      </c>
      <c r="P1" t="s">
        <v>10</v>
      </c>
      <c r="Q1" t="s">
        <v>11</v>
      </c>
      <c r="R1" t="s">
        <v>12</v>
      </c>
      <c r="S1" t="s">
        <v>13</v>
      </c>
      <c r="T1" t="s">
        <v>14</v>
      </c>
      <c r="U1" t="s">
        <v>15</v>
      </c>
      <c r="V1" t="s">
        <v>16</v>
      </c>
      <c r="W1" t="s">
        <v>17</v>
      </c>
      <c r="X1" t="s">
        <v>18</v>
      </c>
      <c r="Y1" t="s">
        <v>19</v>
      </c>
      <c r="Z1" t="s">
        <v>20</v>
      </c>
      <c r="AA1" t="s">
        <v>21</v>
      </c>
      <c r="AB1" t="s">
        <v>22</v>
      </c>
      <c r="AC1" t="s">
        <v>23</v>
      </c>
      <c r="AD1" t="s">
        <v>24</v>
      </c>
      <c r="AE1" t="s">
        <v>25</v>
      </c>
      <c r="AF1" t="s">
        <v>26</v>
      </c>
      <c r="AG1" t="s">
        <v>27</v>
      </c>
      <c r="AH1" t="s">
        <v>28</v>
      </c>
      <c r="AI1" t="s">
        <v>29</v>
      </c>
      <c r="AJ1" t="s">
        <v>30</v>
      </c>
      <c r="AK1" t="s">
        <v>32</v>
      </c>
      <c r="AL1" t="s">
        <v>33</v>
      </c>
      <c r="AM1" t="s">
        <v>34</v>
      </c>
      <c r="AN1" t="s">
        <v>35</v>
      </c>
      <c r="AO1" t="s">
        <v>229</v>
      </c>
      <c r="AP1" t="s">
        <v>230</v>
      </c>
      <c r="AQ1" t="s">
        <v>36</v>
      </c>
      <c r="AR1" t="s">
        <v>37</v>
      </c>
      <c r="AS1" t="s">
        <v>38</v>
      </c>
      <c r="AT1" t="s">
        <v>39</v>
      </c>
      <c r="AU1" t="s">
        <v>40</v>
      </c>
      <c r="AV1" t="s">
        <v>41</v>
      </c>
      <c r="AW1" t="s">
        <v>42</v>
      </c>
      <c r="AX1" t="s">
        <v>43</v>
      </c>
      <c r="AY1" t="s">
        <v>44</v>
      </c>
      <c r="AZ1" t="s">
        <v>45</v>
      </c>
      <c r="BA1" t="s">
        <v>46</v>
      </c>
      <c r="BB1" t="s">
        <v>47</v>
      </c>
      <c r="BC1" t="s">
        <v>48</v>
      </c>
      <c r="BD1" t="s">
        <v>49</v>
      </c>
      <c r="BE1" t="s">
        <v>50</v>
      </c>
      <c r="BF1" t="s">
        <v>51</v>
      </c>
      <c r="BG1" t="s">
        <v>52</v>
      </c>
      <c r="BH1" t="s">
        <v>53</v>
      </c>
      <c r="BI1" t="s">
        <v>54</v>
      </c>
      <c r="BJ1" t="s">
        <v>55</v>
      </c>
      <c r="BK1" t="s">
        <v>56</v>
      </c>
      <c r="BL1" t="s">
        <v>57</v>
      </c>
      <c r="BM1" t="s">
        <v>58</v>
      </c>
      <c r="BN1" t="s">
        <v>59</v>
      </c>
      <c r="BO1" t="s">
        <v>60</v>
      </c>
      <c r="BP1" t="s">
        <v>61</v>
      </c>
      <c r="BQ1" t="s">
        <v>62</v>
      </c>
      <c r="BR1" t="s">
        <v>63</v>
      </c>
      <c r="BS1" t="s">
        <v>64</v>
      </c>
      <c r="BT1" t="s">
        <v>65</v>
      </c>
      <c r="BU1" t="s">
        <v>66</v>
      </c>
      <c r="BV1" t="s">
        <v>67</v>
      </c>
      <c r="BW1" t="s">
        <v>68</v>
      </c>
      <c r="BX1" t="s">
        <v>69</v>
      </c>
      <c r="BY1" t="s">
        <v>70</v>
      </c>
      <c r="BZ1" t="s">
        <v>72</v>
      </c>
      <c r="CA1" t="s">
        <v>73</v>
      </c>
      <c r="CB1" t="s">
        <v>74</v>
      </c>
      <c r="CC1" t="s">
        <v>75</v>
      </c>
      <c r="CD1" t="s">
        <v>231</v>
      </c>
      <c r="CE1" t="s">
        <v>232</v>
      </c>
      <c r="CF1" t="s">
        <v>76</v>
      </c>
      <c r="CG1" t="s">
        <v>77</v>
      </c>
      <c r="CH1" t="s">
        <v>78</v>
      </c>
      <c r="CI1" t="s">
        <v>79</v>
      </c>
      <c r="CJ1" t="s">
        <v>80</v>
      </c>
      <c r="CK1" t="s">
        <v>81</v>
      </c>
      <c r="CL1" t="s">
        <v>82</v>
      </c>
      <c r="CM1" t="s">
        <v>83</v>
      </c>
      <c r="CN1" t="s">
        <v>84</v>
      </c>
      <c r="CO1" t="s">
        <v>85</v>
      </c>
      <c r="CP1" t="s">
        <v>86</v>
      </c>
      <c r="CQ1" t="s">
        <v>87</v>
      </c>
      <c r="CR1" t="s">
        <v>88</v>
      </c>
      <c r="CS1" t="s">
        <v>89</v>
      </c>
      <c r="CT1" t="s">
        <v>90</v>
      </c>
      <c r="CU1" t="s">
        <v>91</v>
      </c>
      <c r="CV1" t="s">
        <v>92</v>
      </c>
      <c r="CW1" t="s">
        <v>93</v>
      </c>
      <c r="CX1" t="s">
        <v>94</v>
      </c>
      <c r="CY1" t="s">
        <v>95</v>
      </c>
      <c r="CZ1" t="s">
        <v>96</v>
      </c>
      <c r="DA1" t="s">
        <v>97</v>
      </c>
      <c r="DB1" t="s">
        <v>98</v>
      </c>
      <c r="DC1" t="s">
        <v>99</v>
      </c>
      <c r="DD1" t="s">
        <v>100</v>
      </c>
      <c r="DE1" t="s">
        <v>101</v>
      </c>
      <c r="DF1" t="s">
        <v>102</v>
      </c>
      <c r="DG1" t="s">
        <v>103</v>
      </c>
      <c r="DH1" t="s">
        <v>104</v>
      </c>
      <c r="DI1" t="s">
        <v>105</v>
      </c>
      <c r="DJ1" t="s">
        <v>106</v>
      </c>
      <c r="DK1" t="s">
        <v>107</v>
      </c>
      <c r="DL1" t="s">
        <v>108</v>
      </c>
      <c r="DM1" t="s">
        <v>109</v>
      </c>
      <c r="DN1" t="s">
        <v>110</v>
      </c>
      <c r="DO1" t="s">
        <v>111</v>
      </c>
      <c r="DP1" t="s">
        <v>112</v>
      </c>
      <c r="DQ1" t="s">
        <v>113</v>
      </c>
      <c r="DR1" t="s">
        <v>114</v>
      </c>
      <c r="DS1" t="s">
        <v>233</v>
      </c>
      <c r="DT1" t="s">
        <v>234</v>
      </c>
      <c r="DU1" t="s">
        <v>115</v>
      </c>
      <c r="DV1" t="s">
        <v>117</v>
      </c>
      <c r="DW1" t="s">
        <v>118</v>
      </c>
      <c r="DX1" t="s">
        <v>119</v>
      </c>
      <c r="DY1" t="s">
        <v>120</v>
      </c>
      <c r="DZ1" t="s">
        <v>121</v>
      </c>
      <c r="EA1" t="s">
        <v>122</v>
      </c>
      <c r="EB1" t="s">
        <v>123</v>
      </c>
      <c r="EC1" t="s">
        <v>124</v>
      </c>
      <c r="ED1" t="s">
        <v>125</v>
      </c>
      <c r="EE1" t="s">
        <v>126</v>
      </c>
      <c r="EF1" t="s">
        <v>127</v>
      </c>
      <c r="EG1" t="s">
        <v>128</v>
      </c>
      <c r="EH1" t="s">
        <v>129</v>
      </c>
      <c r="EI1" t="s">
        <v>130</v>
      </c>
      <c r="EJ1" t="s">
        <v>131</v>
      </c>
      <c r="EK1" t="s">
        <v>132</v>
      </c>
      <c r="EL1" t="s">
        <v>133</v>
      </c>
      <c r="EM1" t="s">
        <v>134</v>
      </c>
      <c r="EN1" t="s">
        <v>135</v>
      </c>
      <c r="EO1" t="s">
        <v>136</v>
      </c>
      <c r="EP1" t="s">
        <v>137</v>
      </c>
      <c r="EQ1" t="s">
        <v>138</v>
      </c>
      <c r="ER1" t="s">
        <v>139</v>
      </c>
      <c r="ES1" t="s">
        <v>140</v>
      </c>
      <c r="ET1" t="s">
        <v>141</v>
      </c>
      <c r="EU1" t="s">
        <v>142</v>
      </c>
      <c r="EV1" t="s">
        <v>143</v>
      </c>
      <c r="EW1" t="s">
        <v>144</v>
      </c>
      <c r="EX1" t="s">
        <v>145</v>
      </c>
      <c r="EY1" t="s">
        <v>146</v>
      </c>
      <c r="EZ1" t="s">
        <v>147</v>
      </c>
      <c r="FA1" t="s">
        <v>148</v>
      </c>
      <c r="FB1" t="s">
        <v>149</v>
      </c>
      <c r="FC1" t="s">
        <v>150</v>
      </c>
      <c r="FD1" t="s">
        <v>153</v>
      </c>
      <c r="FE1" t="s">
        <v>154</v>
      </c>
      <c r="FF1" t="s">
        <v>155</v>
      </c>
      <c r="FG1" t="s">
        <v>156</v>
      </c>
      <c r="FH1" t="s">
        <v>235</v>
      </c>
      <c r="FI1" t="s">
        <v>236</v>
      </c>
      <c r="FJ1" t="s">
        <v>158</v>
      </c>
      <c r="FK1" t="s">
        <v>189</v>
      </c>
      <c r="FL1" t="s">
        <v>328</v>
      </c>
      <c r="FM1" t="s">
        <v>329</v>
      </c>
      <c r="FN1" t="s">
        <v>330</v>
      </c>
      <c r="FO1" t="s">
        <v>331</v>
      </c>
      <c r="FP1" t="s">
        <v>332</v>
      </c>
      <c r="FQ1" t="s">
        <v>333</v>
      </c>
      <c r="FR1" t="s">
        <v>334</v>
      </c>
      <c r="FS1" t="s">
        <v>335</v>
      </c>
      <c r="FT1" t="s">
        <v>336</v>
      </c>
      <c r="FU1" t="s">
        <v>337</v>
      </c>
      <c r="FV1" t="s">
        <v>338</v>
      </c>
      <c r="FW1" t="s">
        <v>339</v>
      </c>
      <c r="FX1" t="s">
        <v>340</v>
      </c>
      <c r="FY1" t="s">
        <v>341</v>
      </c>
      <c r="FZ1" t="s">
        <v>342</v>
      </c>
      <c r="GA1" t="s">
        <v>343</v>
      </c>
      <c r="GB1" t="s">
        <v>344</v>
      </c>
      <c r="GC1" t="s">
        <v>345</v>
      </c>
      <c r="GD1" t="s">
        <v>346</v>
      </c>
      <c r="GE1" t="s">
        <v>347</v>
      </c>
      <c r="GF1" t="s">
        <v>348</v>
      </c>
      <c r="GG1" t="s">
        <v>349</v>
      </c>
      <c r="GH1" t="s">
        <v>350</v>
      </c>
      <c r="GI1" t="s">
        <v>351</v>
      </c>
      <c r="GJ1" t="s">
        <v>352</v>
      </c>
      <c r="GK1" t="s">
        <v>353</v>
      </c>
      <c r="GL1" t="s">
        <v>354</v>
      </c>
      <c r="GM1" t="s">
        <v>355</v>
      </c>
      <c r="GN1" t="s">
        <v>356</v>
      </c>
      <c r="GO1" t="s">
        <v>357</v>
      </c>
      <c r="GP1" t="s">
        <v>358</v>
      </c>
      <c r="GQ1" t="s">
        <v>157</v>
      </c>
      <c r="GR1" t="s">
        <v>359</v>
      </c>
      <c r="GS1" t="s">
        <v>361</v>
      </c>
      <c r="GT1" t="s">
        <v>362</v>
      </c>
      <c r="GU1" t="s">
        <v>363</v>
      </c>
      <c r="GV1" t="s">
        <v>364</v>
      </c>
      <c r="GW1" t="s">
        <v>237</v>
      </c>
      <c r="GX1" t="s">
        <v>238</v>
      </c>
      <c r="GY1" t="s">
        <v>239</v>
      </c>
      <c r="GZ1" t="s">
        <v>370</v>
      </c>
      <c r="HA1" t="s">
        <v>240</v>
      </c>
      <c r="HB1" t="s">
        <v>241</v>
      </c>
      <c r="HC1" t="s">
        <v>242</v>
      </c>
      <c r="HD1" t="s">
        <v>243</v>
      </c>
      <c r="HE1" t="s">
        <v>244</v>
      </c>
      <c r="HF1" t="s">
        <v>245</v>
      </c>
      <c r="HG1" t="s">
        <v>246</v>
      </c>
      <c r="HH1" t="s">
        <v>247</v>
      </c>
      <c r="HI1" t="s">
        <v>248</v>
      </c>
      <c r="HJ1" t="s">
        <v>249</v>
      </c>
      <c r="HK1" t="s">
        <v>253</v>
      </c>
      <c r="HL1" t="s">
        <v>251</v>
      </c>
      <c r="HM1" t="s">
        <v>254</v>
      </c>
      <c r="HN1" t="s">
        <v>252</v>
      </c>
      <c r="HO1" t="s">
        <v>255</v>
      </c>
      <c r="HP1" t="s">
        <v>211</v>
      </c>
      <c r="HQ1" t="s">
        <v>212</v>
      </c>
    </row>
    <row r="2" spans="1:225" x14ac:dyDescent="0.25">
      <c r="A2" s="23" t="str">
        <f>County</f>
        <v>Alameda</v>
      </c>
      <c r="B2" s="13" t="e">
        <f>Numecodet6</f>
        <v>#REF!</v>
      </c>
      <c r="C2" s="10" t="e">
        <f>Numealtt6</f>
        <v>#REF!</v>
      </c>
      <c r="D2" s="11" t="e">
        <f>t6yobgsal</f>
        <v>#REF!</v>
      </c>
      <c r="E2" s="11" t="e">
        <f>t6yobgserv</f>
        <v>#REF!</v>
      </c>
      <c r="F2" s="11" t="e">
        <f>t6yobgprof</f>
        <v>#REF!</v>
      </c>
      <c r="G2" s="11" t="e">
        <f>t6yobgcbo</f>
        <v>#REF!</v>
      </c>
      <c r="H2" s="11" t="e">
        <f>t6yobgequip</f>
        <v>#REF!</v>
      </c>
      <c r="I2" s="11" t="e">
        <f>t6yobgadmin</f>
        <v>#REF!</v>
      </c>
      <c r="J2" s="11" t="e">
        <f>t6yobgothr1</f>
        <v>#REF!</v>
      </c>
      <c r="K2" s="11" t="e">
        <f>t6yobgothr2</f>
        <v>#REF!</v>
      </c>
      <c r="L2" s="11" t="e">
        <f>t6yobgothr3</f>
        <v>#REF!</v>
      </c>
      <c r="M2" s="11" t="e">
        <f>t6yobgtot</f>
        <v>#REF!</v>
      </c>
      <c r="N2" s="11" t="e">
        <f>t6jjcpasal</f>
        <v>#REF!</v>
      </c>
      <c r="O2" s="11" t="e">
        <f>t6jjcpaserv</f>
        <v>#REF!</v>
      </c>
      <c r="P2" s="11" t="e">
        <f>t6jjcpaprof</f>
        <v>#REF!</v>
      </c>
      <c r="Q2" s="11" t="e">
        <f>t6jjcpacbo</f>
        <v>#REF!</v>
      </c>
      <c r="R2" s="11" t="e">
        <f>t6jjcpaequip</f>
        <v>#REF!</v>
      </c>
      <c r="S2" s="11" t="e">
        <f>t6jjcpaadmin</f>
        <v>#REF!</v>
      </c>
      <c r="T2" s="11" t="e">
        <f>t6jjcpaothr1</f>
        <v>#REF!</v>
      </c>
      <c r="U2" s="11" t="e">
        <f>t6jjcpaothr2</f>
        <v>#REF!</v>
      </c>
      <c r="V2" s="11" t="e">
        <f>t6jjcpaothr3</f>
        <v>#REF!</v>
      </c>
      <c r="W2" s="11" t="e">
        <f>t6jjcpatot</f>
        <v>#REF!</v>
      </c>
      <c r="X2" s="11" t="e">
        <f>t6othersal</f>
        <v>#REF!</v>
      </c>
      <c r="Y2" s="11" t="e">
        <f>t6otherserv</f>
        <v>#REF!</v>
      </c>
      <c r="Z2" s="11" t="e">
        <f>t6otherprof</f>
        <v>#REF!</v>
      </c>
      <c r="AA2" s="11" t="e">
        <f>t6othercbo</f>
        <v>#REF!</v>
      </c>
      <c r="AB2" s="11" t="e">
        <f>t6otherequip</f>
        <v>#REF!</v>
      </c>
      <c r="AC2" s="11" t="e">
        <f>t6otheradmin</f>
        <v>#REF!</v>
      </c>
      <c r="AD2" s="11" t="e">
        <f>t6otherothr1</f>
        <v>#REF!</v>
      </c>
      <c r="AE2" s="11" t="e">
        <f>t6otherothr2</f>
        <v>#REF!</v>
      </c>
      <c r="AF2" s="11" t="e">
        <f>t6otherothr3</f>
        <v>#REF!</v>
      </c>
      <c r="AG2" s="11" t="e">
        <f>t6othertot</f>
        <v>#REF!</v>
      </c>
      <c r="AH2" s="9" t="e">
        <f>t6casecount</f>
        <v>#REF!</v>
      </c>
      <c r="AI2" s="12" t="e">
        <f>t6yobgpercap</f>
        <v>#REF!</v>
      </c>
      <c r="AJ2" s="12" t="e">
        <f>t6totpercap</f>
        <v>#REF!</v>
      </c>
      <c r="AK2" s="9" t="e">
        <f>t6youth1</f>
        <v>#REF!</v>
      </c>
      <c r="AL2" s="9" t="e">
        <f>t6youth2</f>
        <v>#REF!</v>
      </c>
      <c r="AM2" s="9" t="e">
        <f>t6youth3</f>
        <v>#REF!</v>
      </c>
      <c r="AN2" s="9" t="e">
        <f>t6youth4</f>
        <v>#REF!</v>
      </c>
      <c r="AO2" s="9" t="e">
        <f>t6youth5</f>
        <v>#REF!</v>
      </c>
      <c r="AP2" s="9" t="e">
        <f>t6youth6</f>
        <v>#REF!</v>
      </c>
      <c r="AQ2" s="13" t="e">
        <f>Numecodet7</f>
        <v>#REF!</v>
      </c>
      <c r="AR2" s="10" t="e">
        <f>Numealtt7</f>
        <v>#REF!</v>
      </c>
      <c r="AS2" s="11" t="e">
        <f>t7yobgsal</f>
        <v>#REF!</v>
      </c>
      <c r="AT2" s="11" t="e">
        <f>t7yobgserv</f>
        <v>#REF!</v>
      </c>
      <c r="AU2" s="11" t="e">
        <f>t7yobgprof</f>
        <v>#REF!</v>
      </c>
      <c r="AV2" s="11" t="e">
        <f>t7yobgcbo</f>
        <v>#REF!</v>
      </c>
      <c r="AW2" s="11" t="e">
        <f>t7yobgequip</f>
        <v>#REF!</v>
      </c>
      <c r="AX2" s="11" t="e">
        <f>t7yobgadmin</f>
        <v>#REF!</v>
      </c>
      <c r="AY2" s="11" t="e">
        <f>t7yobgothr1</f>
        <v>#REF!</v>
      </c>
      <c r="AZ2" s="11" t="e">
        <f>t7yobgothr2</f>
        <v>#REF!</v>
      </c>
      <c r="BA2" s="11" t="e">
        <f>t7yobgothr3</f>
        <v>#REF!</v>
      </c>
      <c r="BB2" s="11" t="e">
        <f>t7yobgtot</f>
        <v>#REF!</v>
      </c>
      <c r="BC2" s="11" t="e">
        <f>t7jjcpasal</f>
        <v>#REF!</v>
      </c>
      <c r="BD2" s="11" t="e">
        <f>t7jjcpaserv</f>
        <v>#REF!</v>
      </c>
      <c r="BE2" s="11" t="e">
        <f>t7jjcpaprof</f>
        <v>#REF!</v>
      </c>
      <c r="BF2" s="11" t="e">
        <f>t7jjcpacbo</f>
        <v>#REF!</v>
      </c>
      <c r="BG2" s="11" t="e">
        <f>t7jjcpaequip</f>
        <v>#REF!</v>
      </c>
      <c r="BH2" s="11" t="e">
        <f>t7jjcpaadmin</f>
        <v>#REF!</v>
      </c>
      <c r="BI2" s="11" t="e">
        <f>t7jjcpaothr1</f>
        <v>#REF!</v>
      </c>
      <c r="BJ2" s="11" t="e">
        <f>t7jjcpaothr2</f>
        <v>#REF!</v>
      </c>
      <c r="BK2" s="11" t="e">
        <f>t7jjcpaothr3</f>
        <v>#REF!</v>
      </c>
      <c r="BL2" s="11" t="e">
        <f>t7jjcpatot</f>
        <v>#REF!</v>
      </c>
      <c r="BM2" s="11" t="e">
        <f>t7othersal</f>
        <v>#REF!</v>
      </c>
      <c r="BN2" s="11" t="e">
        <f>t7otherserv</f>
        <v>#REF!</v>
      </c>
      <c r="BO2" s="11" t="e">
        <f>t7otherprof</f>
        <v>#REF!</v>
      </c>
      <c r="BP2" s="11" t="e">
        <f>t7othercbo</f>
        <v>#REF!</v>
      </c>
      <c r="BQ2" s="11" t="e">
        <f>t7otherequip</f>
        <v>#REF!</v>
      </c>
      <c r="BR2" s="11" t="e">
        <f>t7otheradmin</f>
        <v>#REF!</v>
      </c>
      <c r="BS2" s="11" t="e">
        <f>t7otherothr1</f>
        <v>#REF!</v>
      </c>
      <c r="BT2" s="11" t="e">
        <f>t7otherothr2</f>
        <v>#REF!</v>
      </c>
      <c r="BU2" s="11" t="e">
        <f>t7otherothr3</f>
        <v>#REF!</v>
      </c>
      <c r="BV2" s="11" t="e">
        <f>t7othertot</f>
        <v>#REF!</v>
      </c>
      <c r="BW2" s="9" t="e">
        <f>t7casecount</f>
        <v>#REF!</v>
      </c>
      <c r="BX2" s="12" t="e">
        <f>t7yobgpercap</f>
        <v>#REF!</v>
      </c>
      <c r="BY2" s="12" t="e">
        <f>t7totpercap</f>
        <v>#REF!</v>
      </c>
      <c r="BZ2" s="9" t="e">
        <f>t7youth1</f>
        <v>#REF!</v>
      </c>
      <c r="CA2" s="9" t="e">
        <f>t7youth2</f>
        <v>#REF!</v>
      </c>
      <c r="CB2" s="9" t="e">
        <f>t7youth3</f>
        <v>#REF!</v>
      </c>
      <c r="CC2" s="9" t="e">
        <f>t7youth4</f>
        <v>#REF!</v>
      </c>
      <c r="CD2" s="9" t="e">
        <f>t7youth5</f>
        <v>#REF!</v>
      </c>
      <c r="CE2" s="9" t="e">
        <f>t7youth6</f>
        <v>#REF!</v>
      </c>
      <c r="CF2" s="13" t="e">
        <f>Numecodet8</f>
        <v>#REF!</v>
      </c>
      <c r="CG2" s="10" t="e">
        <f>Numealtt8</f>
        <v>#REF!</v>
      </c>
      <c r="CH2" s="11" t="e">
        <f>t8yobgsal</f>
        <v>#REF!</v>
      </c>
      <c r="CI2" s="11" t="e">
        <f>t8yobgserv</f>
        <v>#REF!</v>
      </c>
      <c r="CJ2" s="11" t="e">
        <f>t8yobgprof</f>
        <v>#REF!</v>
      </c>
      <c r="CK2" s="11" t="e">
        <f>t8yobgcbo</f>
        <v>#REF!</v>
      </c>
      <c r="CL2" s="11" t="e">
        <f>t8yobgequip</f>
        <v>#REF!</v>
      </c>
      <c r="CM2" s="11" t="e">
        <f>t8yobgadmin</f>
        <v>#REF!</v>
      </c>
      <c r="CN2" s="11" t="e">
        <f>t8yobgothr1</f>
        <v>#REF!</v>
      </c>
      <c r="CO2" s="11" t="e">
        <f>t8yobgothr2</f>
        <v>#REF!</v>
      </c>
      <c r="CP2" s="11" t="e">
        <f>t8yobgothr3</f>
        <v>#REF!</v>
      </c>
      <c r="CQ2" s="11" t="e">
        <f>t8yobgtot</f>
        <v>#REF!</v>
      </c>
      <c r="CR2" s="11" t="e">
        <f>t8jjcpasal</f>
        <v>#REF!</v>
      </c>
      <c r="CS2" s="11" t="e">
        <f>t8jjcpaserv</f>
        <v>#REF!</v>
      </c>
      <c r="CT2" s="11" t="e">
        <f>t8jjcpaprof</f>
        <v>#REF!</v>
      </c>
      <c r="CU2" s="11" t="e">
        <f>t8jjcpacbo</f>
        <v>#REF!</v>
      </c>
      <c r="CV2" s="11" t="e">
        <f>t8jjcpaequip</f>
        <v>#REF!</v>
      </c>
      <c r="CW2" s="11" t="e">
        <f>t8jjcpaadmin</f>
        <v>#REF!</v>
      </c>
      <c r="CX2" s="11" t="e">
        <f>t8jjcpaothr1</f>
        <v>#REF!</v>
      </c>
      <c r="CY2" s="11" t="e">
        <f>t8jjcpaothr2</f>
        <v>#REF!</v>
      </c>
      <c r="CZ2" s="11" t="e">
        <f>t8jjcpaothr3</f>
        <v>#REF!</v>
      </c>
      <c r="DA2" s="11" t="e">
        <f>t8jjcpatot</f>
        <v>#REF!</v>
      </c>
      <c r="DB2" s="11" t="e">
        <f>t8othersal</f>
        <v>#REF!</v>
      </c>
      <c r="DC2" s="11" t="e">
        <f>t8otherserv</f>
        <v>#REF!</v>
      </c>
      <c r="DD2" s="11" t="e">
        <f>t8otherprof</f>
        <v>#REF!</v>
      </c>
      <c r="DE2" s="11" t="e">
        <f>t8othercbo</f>
        <v>#REF!</v>
      </c>
      <c r="DF2" s="11" t="e">
        <f>t8otherequip</f>
        <v>#REF!</v>
      </c>
      <c r="DG2" s="11" t="e">
        <f>t8otheradmin</f>
        <v>#REF!</v>
      </c>
      <c r="DH2" s="11" t="e">
        <f>t8otherothr1</f>
        <v>#REF!</v>
      </c>
      <c r="DI2" s="11" t="e">
        <f>t8otherothr2</f>
        <v>#REF!</v>
      </c>
      <c r="DJ2" s="11" t="e">
        <f>t8otherothr3</f>
        <v>#REF!</v>
      </c>
      <c r="DK2" s="11" t="e">
        <f>t8othertot</f>
        <v>#REF!</v>
      </c>
      <c r="DL2" s="9" t="e">
        <f>t8casecount</f>
        <v>#REF!</v>
      </c>
      <c r="DM2" s="12" t="e">
        <f>t8yobgpercap</f>
        <v>#REF!</v>
      </c>
      <c r="DN2" s="12" t="e">
        <f>t8totpercap</f>
        <v>#REF!</v>
      </c>
      <c r="DO2" s="9" t="e">
        <f>t8youth1</f>
        <v>#REF!</v>
      </c>
      <c r="DP2" s="9" t="e">
        <f>t8youth2</f>
        <v>#REF!</v>
      </c>
      <c r="DQ2" s="9" t="e">
        <f>t8youth3</f>
        <v>#REF!</v>
      </c>
      <c r="DR2" s="9" t="e">
        <f>t8youth4</f>
        <v>#REF!</v>
      </c>
      <c r="DS2" s="9" t="e">
        <f>t8youth5</f>
        <v>#REF!</v>
      </c>
      <c r="DT2" s="9" t="e">
        <f>t8youth6</f>
        <v>#REF!</v>
      </c>
      <c r="DU2" s="13" t="e">
        <f>Numecodet9</f>
        <v>#REF!</v>
      </c>
      <c r="DV2" s="10" t="e">
        <f>Numealtt9</f>
        <v>#REF!</v>
      </c>
      <c r="DW2" s="11" t="e">
        <f>t9yobgsal</f>
        <v>#REF!</v>
      </c>
      <c r="DX2" s="11" t="e">
        <f>t9yobgserv</f>
        <v>#REF!</v>
      </c>
      <c r="DY2" s="11" t="e">
        <f>t9yobgprof</f>
        <v>#REF!</v>
      </c>
      <c r="DZ2" s="11" t="e">
        <f>t9yobgcbo</f>
        <v>#REF!</v>
      </c>
      <c r="EA2" s="11" t="e">
        <f>t9yobgequip</f>
        <v>#REF!</v>
      </c>
      <c r="EB2" s="11" t="e">
        <f>t9yobgadmin</f>
        <v>#REF!</v>
      </c>
      <c r="EC2" s="11" t="e">
        <f>t9yobgothr1</f>
        <v>#REF!</v>
      </c>
      <c r="ED2" s="11" t="e">
        <f>t9yobgothr2</f>
        <v>#REF!</v>
      </c>
      <c r="EE2" s="11" t="e">
        <f>t9yobgothr3</f>
        <v>#REF!</v>
      </c>
      <c r="EF2" s="11" t="e">
        <f>t9yobgtot</f>
        <v>#REF!</v>
      </c>
      <c r="EG2" s="11" t="e">
        <f>t9jjcpasal</f>
        <v>#REF!</v>
      </c>
      <c r="EH2" s="11" t="e">
        <f>t9jjcpaserv</f>
        <v>#REF!</v>
      </c>
      <c r="EI2" s="11" t="e">
        <f>t9jjcpaprof</f>
        <v>#REF!</v>
      </c>
      <c r="EJ2" s="11" t="e">
        <f>t9jjcpacbo</f>
        <v>#REF!</v>
      </c>
      <c r="EK2" s="11" t="e">
        <f>t9jjcpaequip</f>
        <v>#REF!</v>
      </c>
      <c r="EL2" s="11" t="e">
        <f>t9jjcpaadmin</f>
        <v>#REF!</v>
      </c>
      <c r="EM2" s="11" t="e">
        <f>t9jjcpaothr1</f>
        <v>#REF!</v>
      </c>
      <c r="EN2" s="11" t="e">
        <f>t9jjcpaothr2</f>
        <v>#REF!</v>
      </c>
      <c r="EO2" s="11" t="e">
        <f>t9jjcpaothr3</f>
        <v>#REF!</v>
      </c>
      <c r="EP2" s="11" t="e">
        <f>t9jjcpatot</f>
        <v>#REF!</v>
      </c>
      <c r="EQ2" s="11" t="e">
        <f>t9othersal</f>
        <v>#REF!</v>
      </c>
      <c r="ER2" s="11" t="e">
        <f>t9otherserv</f>
        <v>#REF!</v>
      </c>
      <c r="ES2" s="11" t="e">
        <f>t9otherprof</f>
        <v>#REF!</v>
      </c>
      <c r="ET2" s="11" t="e">
        <f>t9othercbo</f>
        <v>#REF!</v>
      </c>
      <c r="EU2" s="11" t="e">
        <f>t9otherequip</f>
        <v>#REF!</v>
      </c>
      <c r="EV2" s="11" t="e">
        <f>t9otheradmin</f>
        <v>#REF!</v>
      </c>
      <c r="EW2" s="11" t="e">
        <f>t9otherothr1</f>
        <v>#REF!</v>
      </c>
      <c r="EX2" s="11" t="e">
        <f>t9otherothr2</f>
        <v>#REF!</v>
      </c>
      <c r="EY2" s="11" t="e">
        <f>t9otherothr3</f>
        <v>#REF!</v>
      </c>
      <c r="EZ2" s="11" t="e">
        <f>t9othertot</f>
        <v>#REF!</v>
      </c>
      <c r="FA2" s="9" t="e">
        <f>t9casecount</f>
        <v>#REF!</v>
      </c>
      <c r="FB2" s="12" t="e">
        <f>t9yobgpercap</f>
        <v>#REF!</v>
      </c>
      <c r="FC2" s="12" t="e">
        <f>t9totpercap</f>
        <v>#REF!</v>
      </c>
      <c r="FD2" s="9" t="e">
        <f>t9youth1</f>
        <v>#REF!</v>
      </c>
      <c r="FE2" s="9" t="e">
        <f>t9youth2</f>
        <v>#REF!</v>
      </c>
      <c r="FF2" s="9" t="e">
        <f>t9youth3</f>
        <v>#REF!</v>
      </c>
      <c r="FG2" s="9" t="e">
        <f>t9youth4</f>
        <v>#REF!</v>
      </c>
      <c r="FH2" s="9" t="e">
        <f>t9youth5</f>
        <v>#REF!</v>
      </c>
      <c r="FI2" s="9" t="e">
        <f>t9youth6</f>
        <v>#REF!</v>
      </c>
      <c r="FJ2" s="13" t="e">
        <f>Numecodet10</f>
        <v>#REF!</v>
      </c>
      <c r="FK2" s="10" t="e">
        <f>Numealtt10</f>
        <v>#REF!</v>
      </c>
      <c r="FL2" s="11" t="e">
        <f>t10yobgsal</f>
        <v>#REF!</v>
      </c>
      <c r="FM2" s="11" t="e">
        <f>t10yobgserv</f>
        <v>#REF!</v>
      </c>
      <c r="FN2" s="11" t="e">
        <f>t10yobgprof</f>
        <v>#REF!</v>
      </c>
      <c r="FO2" s="11" t="e">
        <f>t10yobgcbo</f>
        <v>#REF!</v>
      </c>
      <c r="FP2" s="11" t="e">
        <f>t10yobgequip</f>
        <v>#REF!</v>
      </c>
      <c r="FQ2" s="11" t="e">
        <f>t10yobgadmin</f>
        <v>#REF!</v>
      </c>
      <c r="FR2" s="11" t="e">
        <f>t10yobgothr1</f>
        <v>#REF!</v>
      </c>
      <c r="FS2" s="11" t="e">
        <f>t10yobgothr2</f>
        <v>#REF!</v>
      </c>
      <c r="FT2" s="11" t="e">
        <f>t10yobgothr3</f>
        <v>#REF!</v>
      </c>
      <c r="FU2" s="11" t="e">
        <f>t10yobgtot</f>
        <v>#REF!</v>
      </c>
      <c r="FV2" s="11" t="e">
        <f>t10jjcpasal</f>
        <v>#REF!</v>
      </c>
      <c r="FW2" s="11" t="e">
        <f>t10jjcpaserv</f>
        <v>#REF!</v>
      </c>
      <c r="FX2" s="11" t="e">
        <f>t10jjcpaprof</f>
        <v>#REF!</v>
      </c>
      <c r="FY2" s="11" t="e">
        <f>t10jjcpacbo</f>
        <v>#REF!</v>
      </c>
      <c r="FZ2" s="11" t="e">
        <f>t10jjcpaequip</f>
        <v>#REF!</v>
      </c>
      <c r="GA2" s="11" t="e">
        <f>t10jjcpaadmin</f>
        <v>#REF!</v>
      </c>
      <c r="GB2" s="11" t="e">
        <f>t10jjcpaothr1</f>
        <v>#REF!</v>
      </c>
      <c r="GC2" s="11" t="e">
        <f>t10jjcpaothr2</f>
        <v>#REF!</v>
      </c>
      <c r="GD2" s="11" t="e">
        <f>t10jjcpaothr3</f>
        <v>#REF!</v>
      </c>
      <c r="GE2" s="11" t="e">
        <f>t10jjcpatot</f>
        <v>#REF!</v>
      </c>
      <c r="GF2" s="11" t="e">
        <f>t10othersal</f>
        <v>#REF!</v>
      </c>
      <c r="GG2" s="11" t="e">
        <f>t10otherserv</f>
        <v>#REF!</v>
      </c>
      <c r="GH2" s="11" t="e">
        <f>t10otherprof</f>
        <v>#REF!</v>
      </c>
      <c r="GI2" s="11" t="e">
        <f>t10othercbo</f>
        <v>#REF!</v>
      </c>
      <c r="GJ2" s="11" t="e">
        <f>t10otherequip</f>
        <v>#REF!</v>
      </c>
      <c r="GK2" s="11" t="e">
        <f>t10otheradmin</f>
        <v>#REF!</v>
      </c>
      <c r="GL2" s="11" t="e">
        <f>t10otherothr1</f>
        <v>#REF!</v>
      </c>
      <c r="GM2" s="11" t="e">
        <f>t10otherothr2</f>
        <v>#REF!</v>
      </c>
      <c r="GN2" s="11" t="e">
        <f>t10otherothr3</f>
        <v>#REF!</v>
      </c>
      <c r="GO2" s="11" t="e">
        <f>t10othertot</f>
        <v>#REF!</v>
      </c>
      <c r="GP2" s="9" t="e">
        <f>t10casecount</f>
        <v>#REF!</v>
      </c>
      <c r="GQ2" s="12" t="e">
        <f>t10yobgpercap</f>
        <v>#REF!</v>
      </c>
      <c r="GR2" s="12" t="e">
        <f>t10totpercap</f>
        <v>#REF!</v>
      </c>
      <c r="GS2" s="9" t="e">
        <f>t10youth1</f>
        <v>#REF!</v>
      </c>
      <c r="GT2" s="9" t="e">
        <f>t10youth2</f>
        <v>#REF!</v>
      </c>
      <c r="GU2" s="9" t="e">
        <f>t10youth3</f>
        <v>#REF!</v>
      </c>
      <c r="GV2" s="9" t="e">
        <f>t10youth4</f>
        <v>#REF!</v>
      </c>
      <c r="GW2" s="9" t="e">
        <f>t10youth5</f>
        <v>#REF!</v>
      </c>
      <c r="GX2" s="9" t="e">
        <f>t10youth6</f>
        <v>#REF!</v>
      </c>
      <c r="GY2" s="9">
        <f>asi</f>
        <v>0</v>
      </c>
      <c r="GZ2" s="9">
        <f>bot</f>
        <v>0</v>
      </c>
      <c r="HA2" s="9">
        <f>COMPAS</f>
        <v>0</v>
      </c>
      <c r="HB2" s="9">
        <f>JAIS</f>
        <v>0</v>
      </c>
      <c r="HC2" s="9">
        <f>LSIR</f>
        <v>0</v>
      </c>
      <c r="HD2" s="9">
        <f>MAYSI2</f>
        <v>0</v>
      </c>
      <c r="HE2" s="9">
        <f>MAYSI</f>
        <v>0</v>
      </c>
      <c r="HF2" s="9">
        <f>NIC</f>
        <v>0</v>
      </c>
      <c r="HG2" s="9">
        <f>PACT</f>
        <v>0</v>
      </c>
      <c r="HH2" s="9">
        <f>RRC</f>
        <v>0</v>
      </c>
      <c r="HI2" s="9">
        <f>YLSCMI</f>
        <v>0</v>
      </c>
      <c r="HJ2" s="9">
        <f>othrassessmentname1</f>
        <v>0</v>
      </c>
      <c r="HK2" s="9">
        <f>othrassess1</f>
        <v>0</v>
      </c>
      <c r="HL2" s="9">
        <f>othrassessmentname2</f>
        <v>0</v>
      </c>
      <c r="HM2" s="9">
        <f>othrassess2</f>
        <v>0</v>
      </c>
      <c r="HN2" s="9">
        <f>othrassessmentname3</f>
        <v>0</v>
      </c>
      <c r="HO2" s="9">
        <f>othrassess3</f>
        <v>0</v>
      </c>
      <c r="HP2" s="9">
        <f>othrassessmentname4</f>
        <v>0</v>
      </c>
      <c r="HQ2" s="9">
        <f>othrassess4</f>
        <v>0</v>
      </c>
    </row>
  </sheetData>
  <sheetProtection password="CB13" sheet="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dimension ref="A1:HB2"/>
  <sheetViews>
    <sheetView workbookViewId="0">
      <selection activeCell="J22" sqref="J22"/>
    </sheetView>
  </sheetViews>
  <sheetFormatPr defaultRowHeight="13.2" x14ac:dyDescent="0.25"/>
  <sheetData>
    <row r="1" spans="1:210" x14ac:dyDescent="0.25">
      <c r="A1" t="s">
        <v>539</v>
      </c>
      <c r="B1" t="s">
        <v>261</v>
      </c>
      <c r="C1" t="s">
        <v>260</v>
      </c>
      <c r="D1" s="1" t="s">
        <v>256</v>
      </c>
      <c r="E1" s="1" t="s">
        <v>257</v>
      </c>
      <c r="F1" s="1" t="s">
        <v>258</v>
      </c>
      <c r="G1" s="1" t="s">
        <v>259</v>
      </c>
      <c r="H1" s="1" t="s">
        <v>263</v>
      </c>
      <c r="I1" s="1" t="s">
        <v>262</v>
      </c>
      <c r="J1" t="s">
        <v>585</v>
      </c>
      <c r="K1" t="s">
        <v>586</v>
      </c>
      <c r="L1" t="s">
        <v>301</v>
      </c>
      <c r="M1" t="s">
        <v>302</v>
      </c>
      <c r="N1" t="s">
        <v>574</v>
      </c>
      <c r="O1" t="s">
        <v>575</v>
      </c>
      <c r="P1" t="s">
        <v>576</v>
      </c>
      <c r="Q1" t="s">
        <v>577</v>
      </c>
      <c r="R1" t="s">
        <v>215</v>
      </c>
      <c r="S1" t="s">
        <v>286</v>
      </c>
      <c r="T1" t="s">
        <v>216</v>
      </c>
      <c r="U1" t="s">
        <v>159</v>
      </c>
      <c r="V1" t="s">
        <v>160</v>
      </c>
      <c r="W1" t="s">
        <v>161</v>
      </c>
      <c r="X1" t="s">
        <v>587</v>
      </c>
      <c r="Y1" t="s">
        <v>588</v>
      </c>
      <c r="Z1" t="s">
        <v>303</v>
      </c>
      <c r="AA1" t="s">
        <v>304</v>
      </c>
      <c r="AB1" t="s">
        <v>619</v>
      </c>
      <c r="AC1" t="s">
        <v>620</v>
      </c>
      <c r="AD1" t="s">
        <v>621</v>
      </c>
      <c r="AE1" t="s">
        <v>661</v>
      </c>
      <c r="AF1" t="s">
        <v>267</v>
      </c>
      <c r="AG1" t="s">
        <v>287</v>
      </c>
      <c r="AH1" t="s">
        <v>268</v>
      </c>
      <c r="AI1" t="s">
        <v>162</v>
      </c>
      <c r="AJ1" t="s">
        <v>163</v>
      </c>
      <c r="AK1" t="s">
        <v>164</v>
      </c>
      <c r="AL1" t="s">
        <v>626</v>
      </c>
      <c r="AM1" t="s">
        <v>627</v>
      </c>
      <c r="AN1" t="s">
        <v>305</v>
      </c>
      <c r="AO1" t="s">
        <v>306</v>
      </c>
      <c r="AP1" t="s">
        <v>658</v>
      </c>
      <c r="AQ1" t="s">
        <v>659</v>
      </c>
      <c r="AR1" t="s">
        <v>660</v>
      </c>
      <c r="AS1" t="s">
        <v>662</v>
      </c>
      <c r="AT1" t="s">
        <v>269</v>
      </c>
      <c r="AU1" t="s">
        <v>288</v>
      </c>
      <c r="AV1" t="s">
        <v>270</v>
      </c>
      <c r="AW1" t="s">
        <v>165</v>
      </c>
      <c r="AX1" t="s">
        <v>166</v>
      </c>
      <c r="AY1" t="s">
        <v>167</v>
      </c>
      <c r="AZ1" t="s">
        <v>667</v>
      </c>
      <c r="BA1" t="s">
        <v>668</v>
      </c>
      <c r="BB1" t="s">
        <v>307</v>
      </c>
      <c r="BC1" t="s">
        <v>308</v>
      </c>
      <c r="BD1" t="s">
        <v>699</v>
      </c>
      <c r="BE1" t="s">
        <v>700</v>
      </c>
      <c r="BF1" t="s">
        <v>701</v>
      </c>
      <c r="BG1" t="s">
        <v>702</v>
      </c>
      <c r="BH1" t="s">
        <v>271</v>
      </c>
      <c r="BI1" t="s">
        <v>289</v>
      </c>
      <c r="BJ1" t="s">
        <v>272</v>
      </c>
      <c r="BK1" t="s">
        <v>168</v>
      </c>
      <c r="BL1" t="s">
        <v>169</v>
      </c>
      <c r="BM1" t="s">
        <v>170</v>
      </c>
      <c r="BN1" t="s">
        <v>707</v>
      </c>
      <c r="BO1" t="s">
        <v>708</v>
      </c>
      <c r="BP1" t="s">
        <v>309</v>
      </c>
      <c r="BQ1" t="s">
        <v>310</v>
      </c>
      <c r="BR1" t="s">
        <v>739</v>
      </c>
      <c r="BS1" t="s">
        <v>740</v>
      </c>
      <c r="BT1" t="s">
        <v>741</v>
      </c>
      <c r="BU1" t="s">
        <v>742</v>
      </c>
      <c r="BV1" t="s">
        <v>273</v>
      </c>
      <c r="BW1" t="s">
        <v>290</v>
      </c>
      <c r="BX1" t="s">
        <v>274</v>
      </c>
      <c r="BY1" t="s">
        <v>171</v>
      </c>
      <c r="BZ1" t="s">
        <v>172</v>
      </c>
      <c r="CA1" t="s">
        <v>173</v>
      </c>
      <c r="CB1" t="s">
        <v>747</v>
      </c>
      <c r="CC1" t="s">
        <v>748</v>
      </c>
      <c r="CD1" t="s">
        <v>311</v>
      </c>
      <c r="CE1" t="s">
        <v>312</v>
      </c>
      <c r="CF1" t="s">
        <v>28</v>
      </c>
      <c r="CG1" t="s">
        <v>29</v>
      </c>
      <c r="CH1" t="s">
        <v>30</v>
      </c>
      <c r="CI1" t="s">
        <v>31</v>
      </c>
      <c r="CJ1" t="s">
        <v>275</v>
      </c>
      <c r="CK1" t="s">
        <v>291</v>
      </c>
      <c r="CL1" t="s">
        <v>276</v>
      </c>
      <c r="CM1" t="s">
        <v>174</v>
      </c>
      <c r="CN1" t="s">
        <v>175</v>
      </c>
      <c r="CO1" t="s">
        <v>176</v>
      </c>
      <c r="CP1" t="s">
        <v>36</v>
      </c>
      <c r="CQ1" t="s">
        <v>37</v>
      </c>
      <c r="CR1" t="s">
        <v>313</v>
      </c>
      <c r="CS1" t="s">
        <v>314</v>
      </c>
      <c r="CT1" t="s">
        <v>68</v>
      </c>
      <c r="CU1" t="s">
        <v>69</v>
      </c>
      <c r="CV1" t="s">
        <v>70</v>
      </c>
      <c r="CW1" t="s">
        <v>71</v>
      </c>
      <c r="CX1" t="s">
        <v>277</v>
      </c>
      <c r="CY1" t="s">
        <v>292</v>
      </c>
      <c r="CZ1" t="s">
        <v>278</v>
      </c>
      <c r="DA1" t="s">
        <v>177</v>
      </c>
      <c r="DB1" t="s">
        <v>178</v>
      </c>
      <c r="DC1" t="s">
        <v>179</v>
      </c>
      <c r="DD1" t="s">
        <v>76</v>
      </c>
      <c r="DE1" t="s">
        <v>77</v>
      </c>
      <c r="DF1" t="s">
        <v>315</v>
      </c>
      <c r="DG1" t="s">
        <v>316</v>
      </c>
      <c r="DH1" t="s">
        <v>108</v>
      </c>
      <c r="DI1" t="s">
        <v>109</v>
      </c>
      <c r="DJ1" t="s">
        <v>110</v>
      </c>
      <c r="DK1" t="s">
        <v>152</v>
      </c>
      <c r="DL1" t="s">
        <v>279</v>
      </c>
      <c r="DM1" t="s">
        <v>293</v>
      </c>
      <c r="DN1" t="s">
        <v>280</v>
      </c>
      <c r="DO1" t="s">
        <v>180</v>
      </c>
      <c r="DP1" t="s">
        <v>181</v>
      </c>
      <c r="DQ1" t="s">
        <v>182</v>
      </c>
      <c r="DR1" t="s">
        <v>115</v>
      </c>
      <c r="DS1" t="s">
        <v>117</v>
      </c>
      <c r="DT1" t="s">
        <v>317</v>
      </c>
      <c r="DU1" t="s">
        <v>318</v>
      </c>
      <c r="DV1" t="s">
        <v>148</v>
      </c>
      <c r="DW1" t="s">
        <v>149</v>
      </c>
      <c r="DX1" t="s">
        <v>150</v>
      </c>
      <c r="DY1" t="s">
        <v>151</v>
      </c>
      <c r="DZ1" t="s">
        <v>281</v>
      </c>
      <c r="EA1" t="s">
        <v>294</v>
      </c>
      <c r="EB1" t="s">
        <v>282</v>
      </c>
      <c r="EC1" t="s">
        <v>183</v>
      </c>
      <c r="ED1" t="s">
        <v>184</v>
      </c>
      <c r="EE1" t="s">
        <v>185</v>
      </c>
      <c r="EF1" t="s">
        <v>158</v>
      </c>
      <c r="EG1" t="s">
        <v>189</v>
      </c>
      <c r="EH1" t="s">
        <v>319</v>
      </c>
      <c r="EI1" t="s">
        <v>320</v>
      </c>
      <c r="EJ1" t="s">
        <v>358</v>
      </c>
      <c r="EK1" t="s">
        <v>157</v>
      </c>
      <c r="EL1" t="s">
        <v>359</v>
      </c>
      <c r="EM1" t="s">
        <v>360</v>
      </c>
      <c r="EN1" t="s">
        <v>283</v>
      </c>
      <c r="EO1" t="s">
        <v>295</v>
      </c>
      <c r="EP1" t="s">
        <v>284</v>
      </c>
      <c r="EQ1" t="s">
        <v>186</v>
      </c>
      <c r="ER1" t="s">
        <v>187</v>
      </c>
      <c r="ES1" t="s">
        <v>188</v>
      </c>
      <c r="ET1" s="41" t="s">
        <v>802</v>
      </c>
      <c r="EU1" s="41" t="s">
        <v>806</v>
      </c>
      <c r="EV1" s="41" t="s">
        <v>803</v>
      </c>
      <c r="EW1" t="s">
        <v>751</v>
      </c>
      <c r="EX1" t="s">
        <v>300</v>
      </c>
      <c r="EY1" t="s">
        <v>298</v>
      </c>
      <c r="EZ1" t="s">
        <v>297</v>
      </c>
      <c r="FA1" t="s">
        <v>296</v>
      </c>
      <c r="FB1" s="41" t="s">
        <v>804</v>
      </c>
      <c r="FC1" t="s">
        <v>299</v>
      </c>
      <c r="FD1" t="s">
        <v>250</v>
      </c>
      <c r="FE1" t="s">
        <v>792</v>
      </c>
      <c r="FF1" t="s">
        <v>752</v>
      </c>
      <c r="FG1" t="s">
        <v>753</v>
      </c>
      <c r="FH1" t="s">
        <v>760</v>
      </c>
      <c r="FI1" t="s">
        <v>761</v>
      </c>
      <c r="FJ1" t="s">
        <v>793</v>
      </c>
      <c r="FK1" t="s">
        <v>754</v>
      </c>
      <c r="FL1" t="s">
        <v>755</v>
      </c>
      <c r="FM1" t="s">
        <v>762</v>
      </c>
      <c r="FN1" t="s">
        <v>763</v>
      </c>
      <c r="FO1" t="s">
        <v>794</v>
      </c>
      <c r="FP1" t="s">
        <v>756</v>
      </c>
      <c r="FQ1" t="s">
        <v>757</v>
      </c>
      <c r="FR1" t="s">
        <v>764</v>
      </c>
      <c r="FS1" t="s">
        <v>765</v>
      </c>
      <c r="FT1" t="s">
        <v>795</v>
      </c>
      <c r="FU1" t="s">
        <v>758</v>
      </c>
      <c r="FV1" t="s">
        <v>759</v>
      </c>
      <c r="FW1" t="s">
        <v>766</v>
      </c>
      <c r="FX1" t="s">
        <v>767</v>
      </c>
      <c r="FY1" t="s">
        <v>796</v>
      </c>
      <c r="FZ1" t="s">
        <v>768</v>
      </c>
      <c r="GA1" t="s">
        <v>769</v>
      </c>
      <c r="GB1" t="s">
        <v>770</v>
      </c>
      <c r="GC1" t="s">
        <v>771</v>
      </c>
      <c r="GD1" t="s">
        <v>797</v>
      </c>
      <c r="GE1" t="s">
        <v>772</v>
      </c>
      <c r="GF1" t="s">
        <v>773</v>
      </c>
      <c r="GG1" t="s">
        <v>774</v>
      </c>
      <c r="GH1" t="s">
        <v>775</v>
      </c>
      <c r="GI1" t="s">
        <v>798</v>
      </c>
      <c r="GJ1" t="s">
        <v>776</v>
      </c>
      <c r="GK1" t="s">
        <v>777</v>
      </c>
      <c r="GL1" t="s">
        <v>778</v>
      </c>
      <c r="GM1" t="s">
        <v>779</v>
      </c>
      <c r="GN1" t="s">
        <v>799</v>
      </c>
      <c r="GO1" t="s">
        <v>780</v>
      </c>
      <c r="GP1" t="s">
        <v>781</v>
      </c>
      <c r="GQ1" t="s">
        <v>782</v>
      </c>
      <c r="GR1" t="s">
        <v>783</v>
      </c>
      <c r="GS1" t="s">
        <v>800</v>
      </c>
      <c r="GT1" t="s">
        <v>784</v>
      </c>
      <c r="GU1" t="s">
        <v>785</v>
      </c>
      <c r="GV1" t="s">
        <v>786</v>
      </c>
      <c r="GW1" t="s">
        <v>787</v>
      </c>
      <c r="GX1" t="s">
        <v>801</v>
      </c>
      <c r="GY1" t="s">
        <v>788</v>
      </c>
      <c r="GZ1" t="s">
        <v>789</v>
      </c>
      <c r="HA1" t="s">
        <v>790</v>
      </c>
      <c r="HB1" t="s">
        <v>791</v>
      </c>
    </row>
    <row r="2" spans="1:210" x14ac:dyDescent="0.25">
      <c r="A2" s="23" t="str">
        <f>County</f>
        <v>Alameda</v>
      </c>
      <c r="B2" s="9">
        <f>coord1</f>
        <v>0</v>
      </c>
      <c r="C2" s="9">
        <f>coord2</f>
        <v>0</v>
      </c>
      <c r="D2" s="31">
        <f>strategy</f>
        <v>0</v>
      </c>
      <c r="E2" s="31">
        <f>stratnar</f>
        <v>0</v>
      </c>
      <c r="F2" s="31">
        <f>stratdf</f>
        <v>0</v>
      </c>
      <c r="G2" s="31">
        <f>stratplan</f>
        <v>0</v>
      </c>
      <c r="H2" s="31">
        <f>coordnar</f>
        <v>0</v>
      </c>
      <c r="I2" s="1">
        <f>regional</f>
        <v>0</v>
      </c>
      <c r="J2" s="10" t="e">
        <f>Numecodet1</f>
        <v>#REF!</v>
      </c>
      <c r="K2" s="10" t="e">
        <f>Numealtt1</f>
        <v>#REF!</v>
      </c>
      <c r="L2" s="10" t="e">
        <f>JJCPAt1</f>
        <v>#REF!</v>
      </c>
      <c r="M2" s="10" t="e">
        <f>Othert1</f>
        <v>#REF!</v>
      </c>
      <c r="N2" s="9" t="e">
        <f>t1casecount</f>
        <v>#REF!</v>
      </c>
      <c r="O2" s="12" t="e">
        <f>t1yobgpercap</f>
        <v>#REF!</v>
      </c>
      <c r="P2" s="12" t="e">
        <f>t1totpercap</f>
        <v>#REF!</v>
      </c>
      <c r="Q2" t="e">
        <f>t1nar</f>
        <v>#REF!</v>
      </c>
      <c r="R2" t="e">
        <f>t1goal</f>
        <v>#REF!</v>
      </c>
      <c r="S2" t="e">
        <f>t1barrier</f>
        <v>#REF!</v>
      </c>
      <c r="T2" t="e">
        <f>t1funds</f>
        <v>#REF!</v>
      </c>
      <c r="U2" t="str">
        <f>t1other1</f>
        <v>Internal Services Fund</v>
      </c>
      <c r="V2">
        <f>t1other2</f>
        <v>0</v>
      </c>
      <c r="W2">
        <f>t1other3</f>
        <v>0</v>
      </c>
      <c r="X2" s="13" t="e">
        <f>Numecodet2</f>
        <v>#REF!</v>
      </c>
      <c r="Y2" s="10" t="e">
        <f>Numealtt2</f>
        <v>#REF!</v>
      </c>
      <c r="Z2" s="10" t="e">
        <f>JJCPAt2</f>
        <v>#REF!</v>
      </c>
      <c r="AA2" s="10" t="e">
        <f>Othert2</f>
        <v>#REF!</v>
      </c>
      <c r="AB2" s="9" t="e">
        <f>t2casecount</f>
        <v>#REF!</v>
      </c>
      <c r="AC2" s="12" t="e">
        <f>t2yobgpercap</f>
        <v>#REF!</v>
      </c>
      <c r="AD2" s="12" t="e">
        <f>t2totpercap</f>
        <v>#REF!</v>
      </c>
      <c r="AE2" t="e">
        <f>t2nar</f>
        <v>#REF!</v>
      </c>
      <c r="AF2" t="e">
        <f>t2goal</f>
        <v>#REF!</v>
      </c>
      <c r="AG2" t="e">
        <f>t2barrier</f>
        <v>#REF!</v>
      </c>
      <c r="AH2" t="e">
        <f>t2funds</f>
        <v>#REF!</v>
      </c>
      <c r="AI2" t="e">
        <f>t2other1</f>
        <v>#REF!</v>
      </c>
      <c r="AJ2" t="e">
        <f>t2other2</f>
        <v>#REF!</v>
      </c>
      <c r="AK2" t="e">
        <f>t2other3</f>
        <v>#REF!</v>
      </c>
      <c r="AL2" s="13" t="e">
        <f>Numecodet3</f>
        <v>#REF!</v>
      </c>
      <c r="AM2" s="10" t="e">
        <f>Numealtt3</f>
        <v>#REF!</v>
      </c>
      <c r="AN2" s="10" t="e">
        <f>JJCPAt3</f>
        <v>#REF!</v>
      </c>
      <c r="AO2" s="10" t="e">
        <f>Othert3</f>
        <v>#REF!</v>
      </c>
      <c r="AP2" s="9" t="e">
        <f>t3casecount</f>
        <v>#REF!</v>
      </c>
      <c r="AQ2" s="12" t="e">
        <f>t3yobgpercap</f>
        <v>#REF!</v>
      </c>
      <c r="AR2" s="12" t="e">
        <f>t3totpercap</f>
        <v>#REF!</v>
      </c>
      <c r="AS2" t="e">
        <f>t3nar</f>
        <v>#REF!</v>
      </c>
      <c r="AT2" t="e">
        <f>t3goal</f>
        <v>#REF!</v>
      </c>
      <c r="AU2" t="e">
        <f>t3barrier</f>
        <v>#REF!</v>
      </c>
      <c r="AV2" t="e">
        <f>t3funds</f>
        <v>#REF!</v>
      </c>
      <c r="AW2" t="e">
        <f>t3other1</f>
        <v>#REF!</v>
      </c>
      <c r="AX2" t="e">
        <f>t3other2</f>
        <v>#REF!</v>
      </c>
      <c r="AY2" t="e">
        <f>t3other3</f>
        <v>#REF!</v>
      </c>
      <c r="AZ2" s="13" t="e">
        <f>Numecodet4</f>
        <v>#REF!</v>
      </c>
      <c r="BA2" s="10" t="e">
        <f>Numealtt4</f>
        <v>#REF!</v>
      </c>
      <c r="BB2" s="10" t="e">
        <f>JJCPAt4</f>
        <v>#REF!</v>
      </c>
      <c r="BC2" s="10" t="e">
        <f>Othert4</f>
        <v>#REF!</v>
      </c>
      <c r="BD2" s="9" t="e">
        <f>t4casecount</f>
        <v>#REF!</v>
      </c>
      <c r="BE2" s="12" t="e">
        <f>t4yobgpercap</f>
        <v>#REF!</v>
      </c>
      <c r="BF2" s="12" t="e">
        <f>t4totpercap</f>
        <v>#REF!</v>
      </c>
      <c r="BG2" t="e">
        <f>t4nar</f>
        <v>#REF!</v>
      </c>
      <c r="BH2" t="e">
        <f>t4goal</f>
        <v>#REF!</v>
      </c>
      <c r="BI2" t="e">
        <f>t4barrier</f>
        <v>#REF!</v>
      </c>
      <c r="BJ2" t="e">
        <f>t4funds</f>
        <v>#REF!</v>
      </c>
      <c r="BK2" t="e">
        <f>t4other1</f>
        <v>#REF!</v>
      </c>
      <c r="BL2" t="e">
        <f>t4other2</f>
        <v>#REF!</v>
      </c>
      <c r="BM2" t="e">
        <f>t4other3</f>
        <v>#REF!</v>
      </c>
      <c r="BN2" s="13" t="e">
        <f>Numecodet5</f>
        <v>#REF!</v>
      </c>
      <c r="BO2" s="10" t="e">
        <f>Numealtt5</f>
        <v>#REF!</v>
      </c>
      <c r="BP2" s="10" t="e">
        <f>JJCPAt5</f>
        <v>#REF!</v>
      </c>
      <c r="BQ2" s="10" t="e">
        <f>Othert5</f>
        <v>#REF!</v>
      </c>
      <c r="BR2" s="9" t="e">
        <f>t5casecount</f>
        <v>#REF!</v>
      </c>
      <c r="BS2" s="12" t="e">
        <f>t5yobgpercap</f>
        <v>#REF!</v>
      </c>
      <c r="BT2" s="12" t="e">
        <f>t5totpercap</f>
        <v>#REF!</v>
      </c>
      <c r="BU2" t="e">
        <f>t5nar</f>
        <v>#REF!</v>
      </c>
      <c r="BV2" t="e">
        <f>t5goal</f>
        <v>#REF!</v>
      </c>
      <c r="BW2" t="e">
        <f>t5barrier</f>
        <v>#REF!</v>
      </c>
      <c r="BX2" t="e">
        <f>t5funds</f>
        <v>#REF!</v>
      </c>
      <c r="BY2" t="e">
        <f>t5other1</f>
        <v>#REF!</v>
      </c>
      <c r="BZ2" t="e">
        <f>t5other2</f>
        <v>#REF!</v>
      </c>
      <c r="CA2" t="e">
        <f>t5other3</f>
        <v>#REF!</v>
      </c>
      <c r="CB2" s="13" t="e">
        <f>Numecodet6</f>
        <v>#REF!</v>
      </c>
      <c r="CC2" s="10" t="e">
        <f>Numealtt6</f>
        <v>#REF!</v>
      </c>
      <c r="CD2" s="10" t="e">
        <f>JJCPAt6</f>
        <v>#REF!</v>
      </c>
      <c r="CE2" s="10" t="e">
        <f>Othert6</f>
        <v>#REF!</v>
      </c>
      <c r="CF2" s="9" t="e">
        <f>t6casecount</f>
        <v>#REF!</v>
      </c>
      <c r="CG2" s="12" t="e">
        <f>t6yobgpercap</f>
        <v>#REF!</v>
      </c>
      <c r="CH2" s="12" t="e">
        <f>t6totpercap</f>
        <v>#REF!</v>
      </c>
      <c r="CI2" t="e">
        <f>t6nar</f>
        <v>#REF!</v>
      </c>
      <c r="CJ2" t="e">
        <f>t6goal</f>
        <v>#REF!</v>
      </c>
      <c r="CK2" t="e">
        <f>t6barrier</f>
        <v>#REF!</v>
      </c>
      <c r="CL2" t="e">
        <f>t6funds</f>
        <v>#REF!</v>
      </c>
      <c r="CM2" t="e">
        <f>t6other1</f>
        <v>#REF!</v>
      </c>
      <c r="CN2" t="e">
        <f>t6other2</f>
        <v>#REF!</v>
      </c>
      <c r="CO2" t="e">
        <f>t6other3</f>
        <v>#REF!</v>
      </c>
      <c r="CP2" s="13" t="e">
        <f>Numecodet7</f>
        <v>#REF!</v>
      </c>
      <c r="CQ2" s="10" t="e">
        <f>Numealtt7</f>
        <v>#REF!</v>
      </c>
      <c r="CR2" s="10" t="e">
        <f>JJCPAt7</f>
        <v>#REF!</v>
      </c>
      <c r="CS2" s="10" t="e">
        <f>Othert7</f>
        <v>#REF!</v>
      </c>
      <c r="CT2" s="9" t="e">
        <f>t7casecount</f>
        <v>#REF!</v>
      </c>
      <c r="CU2" s="12" t="e">
        <f>t7yobgpercap</f>
        <v>#REF!</v>
      </c>
      <c r="CV2" s="12" t="e">
        <f>t7totpercap</f>
        <v>#REF!</v>
      </c>
      <c r="CW2" t="e">
        <f>t7nar</f>
        <v>#REF!</v>
      </c>
      <c r="CX2" t="e">
        <f>t7goal</f>
        <v>#REF!</v>
      </c>
      <c r="CY2" t="e">
        <f>t7barrier</f>
        <v>#REF!</v>
      </c>
      <c r="CZ2" t="e">
        <f>t7funds</f>
        <v>#REF!</v>
      </c>
      <c r="DA2" t="e">
        <f>t7other1</f>
        <v>#REF!</v>
      </c>
      <c r="DB2" t="e">
        <f>t7other2</f>
        <v>#REF!</v>
      </c>
      <c r="DC2" t="e">
        <f>t7other3</f>
        <v>#REF!</v>
      </c>
      <c r="DD2" s="13" t="e">
        <f>Numecodet8</f>
        <v>#REF!</v>
      </c>
      <c r="DE2" s="10" t="e">
        <f>Numealtt8</f>
        <v>#REF!</v>
      </c>
      <c r="DF2" s="10" t="e">
        <f>JJCPAt8</f>
        <v>#REF!</v>
      </c>
      <c r="DG2" s="10" t="e">
        <f>Othert8</f>
        <v>#REF!</v>
      </c>
      <c r="DH2" s="9" t="e">
        <f>t8casecount</f>
        <v>#REF!</v>
      </c>
      <c r="DI2" s="12" t="e">
        <f>t8yobgpercap</f>
        <v>#REF!</v>
      </c>
      <c r="DJ2" s="12" t="e">
        <f>t8totpercap</f>
        <v>#REF!</v>
      </c>
      <c r="DK2" t="e">
        <f>t8nar</f>
        <v>#REF!</v>
      </c>
      <c r="DL2" t="e">
        <f>t8goal</f>
        <v>#REF!</v>
      </c>
      <c r="DM2" t="e">
        <f>t8barrier</f>
        <v>#REF!</v>
      </c>
      <c r="DN2" t="e">
        <f>t8funds</f>
        <v>#REF!</v>
      </c>
      <c r="DO2" t="e">
        <f>t8other1</f>
        <v>#REF!</v>
      </c>
      <c r="DP2" t="e">
        <f>t8other2</f>
        <v>#REF!</v>
      </c>
      <c r="DQ2" t="e">
        <f>t8other3</f>
        <v>#REF!</v>
      </c>
      <c r="DR2" s="13" t="e">
        <f>Numecodet9</f>
        <v>#REF!</v>
      </c>
      <c r="DS2" s="10" t="e">
        <f>Numealtt9</f>
        <v>#REF!</v>
      </c>
      <c r="DT2" s="10" t="e">
        <f>JJCPAt9</f>
        <v>#REF!</v>
      </c>
      <c r="DU2" s="10" t="e">
        <f>Othert9</f>
        <v>#REF!</v>
      </c>
      <c r="DV2" s="9" t="e">
        <f>t9casecount</f>
        <v>#REF!</v>
      </c>
      <c r="DW2" s="12" t="e">
        <f>t9yobgpercap</f>
        <v>#REF!</v>
      </c>
      <c r="DX2" s="12" t="e">
        <f>t9totpercap</f>
        <v>#REF!</v>
      </c>
      <c r="DY2" t="e">
        <f>t9nar</f>
        <v>#REF!</v>
      </c>
      <c r="DZ2" t="e">
        <f>t9goal</f>
        <v>#REF!</v>
      </c>
      <c r="EA2" t="e">
        <f>t9barrier</f>
        <v>#REF!</v>
      </c>
      <c r="EB2" t="e">
        <f>t9funds</f>
        <v>#REF!</v>
      </c>
      <c r="EC2" t="e">
        <f>t9other1</f>
        <v>#REF!</v>
      </c>
      <c r="ED2" t="e">
        <f>t9other2</f>
        <v>#REF!</v>
      </c>
      <c r="EE2" t="e">
        <f>t9other3</f>
        <v>#REF!</v>
      </c>
      <c r="EF2" s="13" t="e">
        <f>Numecodet10</f>
        <v>#REF!</v>
      </c>
      <c r="EG2" s="10" t="e">
        <f>Numealtt10</f>
        <v>#REF!</v>
      </c>
      <c r="EH2" s="10" t="e">
        <f>JJCPAt10</f>
        <v>#REF!</v>
      </c>
      <c r="EI2" s="10" t="e">
        <f>Othert10</f>
        <v>#REF!</v>
      </c>
      <c r="EJ2" s="9" t="e">
        <f>t10casecount</f>
        <v>#REF!</v>
      </c>
      <c r="EK2" s="12" t="e">
        <f>t10yobgpercap</f>
        <v>#REF!</v>
      </c>
      <c r="EL2" s="12" t="e">
        <f>t10totpercap</f>
        <v>#REF!</v>
      </c>
      <c r="EM2" t="e">
        <f>t10nar</f>
        <v>#REF!</v>
      </c>
      <c r="EN2" t="e">
        <f>t10goal</f>
        <v>#REF!</v>
      </c>
      <c r="EO2" t="e">
        <f>t10barrier</f>
        <v>#REF!</v>
      </c>
      <c r="EP2" t="e">
        <f>t10funds</f>
        <v>#REF!</v>
      </c>
      <c r="EQ2" t="e">
        <f>t10other1</f>
        <v>#REF!</v>
      </c>
      <c r="ER2" t="e">
        <f>t10other2</f>
        <v>#REF!</v>
      </c>
      <c r="ES2" t="e">
        <f>t10other3</f>
        <v>#REF!</v>
      </c>
      <c r="ET2" s="40" t="e">
        <f>totyobgexp</f>
        <v>#REF!</v>
      </c>
      <c r="EU2" s="40" t="e">
        <f>fy1314all</f>
        <v>#REF!</v>
      </c>
      <c r="EV2" s="40" t="e">
        <f>fy1213all</f>
        <v>#REF!</v>
      </c>
      <c r="EW2" s="40" t="e">
        <f>fy1112all</f>
        <v>#REF!</v>
      </c>
      <c r="EX2" s="40" t="e">
        <f>fy1011all</f>
        <v>#REF!</v>
      </c>
      <c r="EY2" s="40" t="e">
        <f>fy0910all</f>
        <v>#REF!</v>
      </c>
      <c r="EZ2" s="40" t="e">
        <f>fy0809all</f>
        <v>#REF!</v>
      </c>
      <c r="FA2" s="40" t="e">
        <f>fy0708all</f>
        <v>#REF!</v>
      </c>
      <c r="FB2" s="40" t="e">
        <f>totforall</f>
        <v>#REF!</v>
      </c>
      <c r="FC2" s="40" t="e">
        <f>discrep</f>
        <v>#REF!</v>
      </c>
      <c r="FD2" t="e">
        <f>discexpl</f>
        <v>#REF!</v>
      </c>
      <c r="FE2" t="e">
        <f>Numecodet1</f>
        <v>#REF!</v>
      </c>
      <c r="FF2" t="e">
        <f>JJCPAt1</f>
        <v>#REF!</v>
      </c>
      <c r="FG2" s="11">
        <f>t1jjcpatot</f>
        <v>0</v>
      </c>
      <c r="FH2" t="e">
        <f>Othert1</f>
        <v>#REF!</v>
      </c>
      <c r="FI2" s="11">
        <f>t1othertot</f>
        <v>156846</v>
      </c>
      <c r="FJ2" t="e">
        <f>Numecodet2</f>
        <v>#REF!</v>
      </c>
      <c r="FK2" t="e">
        <f>JJCPAt2</f>
        <v>#REF!</v>
      </c>
      <c r="FL2" s="11" t="e">
        <f>t2jjcpatot</f>
        <v>#REF!</v>
      </c>
      <c r="FM2" t="e">
        <f>Othert2</f>
        <v>#REF!</v>
      </c>
      <c r="FN2" s="11" t="e">
        <f>t2othertot</f>
        <v>#REF!</v>
      </c>
      <c r="FO2" t="e">
        <f>Numecodet3</f>
        <v>#REF!</v>
      </c>
      <c r="FP2" t="e">
        <f>JJCPAt3</f>
        <v>#REF!</v>
      </c>
      <c r="FQ2" s="11" t="e">
        <f>t3jjcpatot</f>
        <v>#REF!</v>
      </c>
      <c r="FR2" t="e">
        <f>Othert3</f>
        <v>#REF!</v>
      </c>
      <c r="FS2" s="11" t="e">
        <f>t3othertot</f>
        <v>#REF!</v>
      </c>
      <c r="FT2" t="e">
        <f>Numecodet4</f>
        <v>#REF!</v>
      </c>
      <c r="FU2" t="e">
        <f>JJCPAt4</f>
        <v>#REF!</v>
      </c>
      <c r="FV2" s="11" t="e">
        <f>t4jjcpatot</f>
        <v>#REF!</v>
      </c>
      <c r="FW2" t="e">
        <f>Othert4</f>
        <v>#REF!</v>
      </c>
      <c r="FX2" s="11" t="e">
        <f>t4othertot</f>
        <v>#REF!</v>
      </c>
      <c r="FY2" t="e">
        <f>Numecodet5</f>
        <v>#REF!</v>
      </c>
      <c r="FZ2" t="e">
        <f>JJCPAt5</f>
        <v>#REF!</v>
      </c>
      <c r="GA2" s="11" t="e">
        <f>t5jjcpatot</f>
        <v>#REF!</v>
      </c>
      <c r="GB2" t="e">
        <f>Othert5</f>
        <v>#REF!</v>
      </c>
      <c r="GC2" s="11" t="e">
        <f>t5othertot</f>
        <v>#REF!</v>
      </c>
      <c r="GD2" t="e">
        <f>Numecodet6</f>
        <v>#REF!</v>
      </c>
      <c r="GE2" t="e">
        <f>JJCPAt6</f>
        <v>#REF!</v>
      </c>
      <c r="GF2" s="11" t="e">
        <f>t6jjcpatot</f>
        <v>#REF!</v>
      </c>
      <c r="GG2" t="e">
        <f>Othert6</f>
        <v>#REF!</v>
      </c>
      <c r="GH2" s="11" t="e">
        <f>t6othertot</f>
        <v>#REF!</v>
      </c>
      <c r="GI2" t="e">
        <f>Numecodet7</f>
        <v>#REF!</v>
      </c>
      <c r="GJ2" t="e">
        <f>JJCPAt7</f>
        <v>#REF!</v>
      </c>
      <c r="GK2" s="11" t="e">
        <f>t7jjcpatot</f>
        <v>#REF!</v>
      </c>
      <c r="GL2" t="e">
        <f>Othert7</f>
        <v>#REF!</v>
      </c>
      <c r="GM2" s="11" t="e">
        <f>t7othertot</f>
        <v>#REF!</v>
      </c>
      <c r="GN2" t="e">
        <f>Numecodet8</f>
        <v>#REF!</v>
      </c>
      <c r="GO2" t="e">
        <f>JJCPAt8</f>
        <v>#REF!</v>
      </c>
      <c r="GP2" s="11" t="e">
        <f>t8jjcpatot</f>
        <v>#REF!</v>
      </c>
      <c r="GQ2" t="e">
        <f>Othert8</f>
        <v>#REF!</v>
      </c>
      <c r="GR2" s="11" t="e">
        <f>t8othertot</f>
        <v>#REF!</v>
      </c>
      <c r="GS2" t="e">
        <f>Numecodet9</f>
        <v>#REF!</v>
      </c>
      <c r="GT2" t="e">
        <f>JJCPAt9</f>
        <v>#REF!</v>
      </c>
      <c r="GU2" s="11" t="e">
        <f>t9jjcpatot</f>
        <v>#REF!</v>
      </c>
      <c r="GV2" t="e">
        <f>Othert9</f>
        <v>#REF!</v>
      </c>
      <c r="GW2" s="11" t="e">
        <f>t9othertot</f>
        <v>#REF!</v>
      </c>
      <c r="GX2" t="e">
        <f>Numcodet10</f>
        <v>#REF!</v>
      </c>
      <c r="GY2" t="e">
        <f>JJCPAt10</f>
        <v>#REF!</v>
      </c>
      <c r="GZ2" s="11" t="e">
        <f>t10jjcpatot</f>
        <v>#REF!</v>
      </c>
      <c r="HA2" t="e">
        <f>Othert10</f>
        <v>#REF!</v>
      </c>
      <c r="HB2" s="11" t="e">
        <f>t10othertot</f>
        <v>#REF!</v>
      </c>
    </row>
  </sheetData>
  <sheetProtection password="CB13" sheet="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88</vt:i4>
      </vt:variant>
    </vt:vector>
  </HeadingPairs>
  <TitlesOfParts>
    <vt:vector size="107" baseType="lpstr">
      <vt:lpstr>CONTACT INFORMATION</vt:lpstr>
      <vt:lpstr>REPORT 1</vt:lpstr>
      <vt:lpstr>REPORT 3</vt:lpstr>
      <vt:lpstr>ARREST REPORT</vt:lpstr>
      <vt:lpstr>TREND ANALYSIS</vt:lpstr>
      <vt:lpstr>EXPENDITURE DETAILS</vt:lpstr>
      <vt:lpstr>Add'l EXPENDITURE DETAILS</vt:lpstr>
      <vt:lpstr>BSCC USE ONLY REPORT TOTALS </vt:lpstr>
      <vt:lpstr>Drop Down List for Exp Cats</vt:lpstr>
      <vt:lpstr>YOBG-FUNDED ASSESSMENTS</vt:lpstr>
      <vt:lpstr>STRATEGY FOR REALIGNED YOUTH</vt:lpstr>
      <vt:lpstr>OTHER</vt:lpstr>
      <vt:lpstr>Data</vt:lpstr>
      <vt:lpstr>Data2</vt:lpstr>
      <vt:lpstr>Data3</vt:lpstr>
      <vt:lpstr>tables</vt:lpstr>
      <vt:lpstr>ImportData</vt:lpstr>
      <vt:lpstr>ImportData2</vt:lpstr>
      <vt:lpstr>ImportData3</vt:lpstr>
      <vt:lpstr>_Tot1</vt:lpstr>
      <vt:lpstr>asi</vt:lpstr>
      <vt:lpstr>bot</vt:lpstr>
      <vt:lpstr>COMPAS</vt:lpstr>
      <vt:lpstr>coord1</vt:lpstr>
      <vt:lpstr>coord2</vt:lpstr>
      <vt:lpstr>coordnar</vt:lpstr>
      <vt:lpstr>Counties</vt:lpstr>
      <vt:lpstr>County</vt:lpstr>
      <vt:lpstr>Expcat</vt:lpstr>
      <vt:lpstr>Expenditures</vt:lpstr>
      <vt:lpstr>JAIS</vt:lpstr>
      <vt:lpstr>LSIR</vt:lpstr>
      <vt:lpstr>MAYSI</vt:lpstr>
      <vt:lpstr>MAYSI2</vt:lpstr>
      <vt:lpstr>NIC</vt:lpstr>
      <vt:lpstr>othrassess1</vt:lpstr>
      <vt:lpstr>othrassess2</vt:lpstr>
      <vt:lpstr>othrassess3</vt:lpstr>
      <vt:lpstr>othrassess4</vt:lpstr>
      <vt:lpstr>othrassessmentname1</vt:lpstr>
      <vt:lpstr>othrassessmentname2</vt:lpstr>
      <vt:lpstr>othrassessmentname3</vt:lpstr>
      <vt:lpstr>othrassessmentname4</vt:lpstr>
      <vt:lpstr>PACT</vt:lpstr>
      <vt:lpstr>preemail</vt:lpstr>
      <vt:lpstr>Prepemail</vt:lpstr>
      <vt:lpstr>prepfax</vt:lpstr>
      <vt:lpstr>primarytitle</vt:lpstr>
      <vt:lpstr>primcontact</vt:lpstr>
      <vt:lpstr>primemail</vt:lpstr>
      <vt:lpstr>primphone</vt:lpstr>
      <vt:lpstr>'Add''l EXPENDITURE DETAILS'!Print_Area</vt:lpstr>
      <vt:lpstr>'ARREST REPORT'!Print_Area</vt:lpstr>
      <vt:lpstr>'BSCC USE ONLY REPORT TOTALS '!Print_Area</vt:lpstr>
      <vt:lpstr>'CONTACT INFORMATION'!Print_Area</vt:lpstr>
      <vt:lpstr>'REPORT 1'!Print_Area</vt:lpstr>
      <vt:lpstr>'REPORT 3'!Print_Area</vt:lpstr>
      <vt:lpstr>'TREND ANALYSIS'!Print_Area</vt:lpstr>
      <vt:lpstr>regional</vt:lpstr>
      <vt:lpstr>Reportdate</vt:lpstr>
      <vt:lpstr>RRC</vt:lpstr>
      <vt:lpstr>seccontact</vt:lpstr>
      <vt:lpstr>seccontitle</vt:lpstr>
      <vt:lpstr>secemail</vt:lpstr>
      <vt:lpstr>secphone</vt:lpstr>
      <vt:lpstr>stratdf</vt:lpstr>
      <vt:lpstr>stratdif</vt:lpstr>
      <vt:lpstr>strategy</vt:lpstr>
      <vt:lpstr>stratnar</vt:lpstr>
      <vt:lpstr>stratplan</vt:lpstr>
      <vt:lpstr>t1jjcpaadmin</vt:lpstr>
      <vt:lpstr>t1jjcpacbo</vt:lpstr>
      <vt:lpstr>t1jjcpaequip</vt:lpstr>
      <vt:lpstr>t1jjcpaothr1</vt:lpstr>
      <vt:lpstr>t1jjcpaothr2</vt:lpstr>
      <vt:lpstr>t1jjcpaothr3</vt:lpstr>
      <vt:lpstr>t1jjcpaprof</vt:lpstr>
      <vt:lpstr>t1jjcpasal</vt:lpstr>
      <vt:lpstr>t1jjcpaserv</vt:lpstr>
      <vt:lpstr>t1jjcpatot</vt:lpstr>
      <vt:lpstr>t1numcode</vt:lpstr>
      <vt:lpstr>t1other1</vt:lpstr>
      <vt:lpstr>t1other2</vt:lpstr>
      <vt:lpstr>t1other3</vt:lpstr>
      <vt:lpstr>t1otheradmin</vt:lpstr>
      <vt:lpstr>t1othercbo</vt:lpstr>
      <vt:lpstr>t1otherequip</vt:lpstr>
      <vt:lpstr>t1otherothr1</vt:lpstr>
      <vt:lpstr>t1otherothr2</vt:lpstr>
      <vt:lpstr>t1otherothr3</vt:lpstr>
      <vt:lpstr>t1otherprof</vt:lpstr>
      <vt:lpstr>t1othersal</vt:lpstr>
      <vt:lpstr>t1otherserv</vt:lpstr>
      <vt:lpstr>t1othertot</vt:lpstr>
      <vt:lpstr>t1yobgadmin</vt:lpstr>
      <vt:lpstr>t1yobgcbo</vt:lpstr>
      <vt:lpstr>t1yobgequip</vt:lpstr>
      <vt:lpstr>t1yobgothr1</vt:lpstr>
      <vt:lpstr>t1yobgothr2</vt:lpstr>
      <vt:lpstr>t1yobgothr3</vt:lpstr>
      <vt:lpstr>t1yobgprof</vt:lpstr>
      <vt:lpstr>t1yobgsal</vt:lpstr>
      <vt:lpstr>t1yobgserv</vt:lpstr>
      <vt:lpstr>t1yobgtot</vt:lpstr>
      <vt:lpstr>YESNO</vt:lpstr>
      <vt:lpstr>YLSCMI</vt:lpstr>
      <vt:lpstr>Youthtype</vt:lpstr>
    </vt:vector>
  </TitlesOfParts>
  <Company>Corrections Standards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jberner</dc:creator>
  <cp:lastModifiedBy>Windows User</cp:lastModifiedBy>
  <cp:lastPrinted>2018-08-28T17:54:34Z</cp:lastPrinted>
  <dcterms:created xsi:type="dcterms:W3CDTF">2010-06-09T19:05:00Z</dcterms:created>
  <dcterms:modified xsi:type="dcterms:W3CDTF">2021-09-30T16:03:41Z</dcterms:modified>
</cp:coreProperties>
</file>